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<sst xmlns="http://schemas.openxmlformats.org/spreadsheetml/2006/main" count="1028" uniqueCount="222">
  <si>
    <t xml:space="preserve">                                          Список домов </t>
  </si>
  <si>
    <r>
      <t xml:space="preserve">       находящихся в управлении ООО УК "Ремжилзаказчик"</t>
    </r>
    <r>
      <rPr>
        <sz val="14"/>
        <rFont val="Times New Roman Cyr"/>
        <family val="0"/>
      </rPr>
      <t xml:space="preserve"> </t>
    </r>
  </si>
  <si>
    <t>№ п/п</t>
  </si>
  <si>
    <t xml:space="preserve">  Адрес </t>
  </si>
  <si>
    <t>№ дома</t>
  </si>
  <si>
    <t>Васенко</t>
  </si>
  <si>
    <t>Елькина</t>
  </si>
  <si>
    <t>Карла Маркса</t>
  </si>
  <si>
    <t>Кирова</t>
  </si>
  <si>
    <t>Коммуны</t>
  </si>
  <si>
    <t>Красная</t>
  </si>
  <si>
    <t>Красноармейская</t>
  </si>
  <si>
    <t>Ленина</t>
  </si>
  <si>
    <t>Ленина/Пушкина</t>
  </si>
  <si>
    <t>50/56</t>
  </si>
  <si>
    <t>Пушкина</t>
  </si>
  <si>
    <t>27а</t>
  </si>
  <si>
    <t>56а</t>
  </si>
  <si>
    <t>6а</t>
  </si>
  <si>
    <t xml:space="preserve">Российская  </t>
  </si>
  <si>
    <t>196а</t>
  </si>
  <si>
    <t>С. Кривой</t>
  </si>
  <si>
    <t>Свободы</t>
  </si>
  <si>
    <t>49а49б</t>
  </si>
  <si>
    <t>Советская</t>
  </si>
  <si>
    <t>Труда</t>
  </si>
  <si>
    <t>Цвиллинга</t>
  </si>
  <si>
    <t>Володарского</t>
  </si>
  <si>
    <t>9а</t>
  </si>
  <si>
    <t>Клары Цеткин</t>
  </si>
  <si>
    <t>30а</t>
  </si>
  <si>
    <t>88а</t>
  </si>
  <si>
    <t>64а</t>
  </si>
  <si>
    <t>68а</t>
  </si>
  <si>
    <t>71а</t>
  </si>
  <si>
    <t>74б</t>
  </si>
  <si>
    <t>С.Кривой</t>
  </si>
  <si>
    <t>Свердловский пр-т.</t>
  </si>
  <si>
    <t>Энгельса</t>
  </si>
  <si>
    <t>47а</t>
  </si>
  <si>
    <t>47б</t>
  </si>
  <si>
    <t>Энтузиастов</t>
  </si>
  <si>
    <t>III Интернационала</t>
  </si>
  <si>
    <t>113а</t>
  </si>
  <si>
    <t>119а</t>
  </si>
  <si>
    <t>90а</t>
  </si>
  <si>
    <t>92а</t>
  </si>
  <si>
    <t>94.а</t>
  </si>
  <si>
    <t>28А</t>
  </si>
  <si>
    <t>28Б</t>
  </si>
  <si>
    <t>28В</t>
  </si>
  <si>
    <t>28Г</t>
  </si>
  <si>
    <t>36а</t>
  </si>
  <si>
    <t>36б</t>
  </si>
  <si>
    <t>36в</t>
  </si>
  <si>
    <t>Мопра</t>
  </si>
  <si>
    <t>Пермская</t>
  </si>
  <si>
    <t>82а</t>
  </si>
  <si>
    <t>Постышева</t>
  </si>
  <si>
    <t>Российская</t>
  </si>
  <si>
    <t>7а</t>
  </si>
  <si>
    <t>63А</t>
  </si>
  <si>
    <t>65А</t>
  </si>
  <si>
    <t>68А</t>
  </si>
  <si>
    <t>71/69</t>
  </si>
  <si>
    <t>Архитекторная</t>
  </si>
  <si>
    <t>63а</t>
  </si>
  <si>
    <t>71А</t>
  </si>
  <si>
    <t xml:space="preserve">Труда </t>
  </si>
  <si>
    <t>Больничная</t>
  </si>
  <si>
    <t>Воровского</t>
  </si>
  <si>
    <t>26А</t>
  </si>
  <si>
    <t>30А</t>
  </si>
  <si>
    <t>34А</t>
  </si>
  <si>
    <t>К. Либкнехта</t>
  </si>
  <si>
    <t>40А</t>
  </si>
  <si>
    <t>Курчатова</t>
  </si>
  <si>
    <t>23А</t>
  </si>
  <si>
    <t>25А</t>
  </si>
  <si>
    <t>27А</t>
  </si>
  <si>
    <t>37А</t>
  </si>
  <si>
    <t>37Б</t>
  </si>
  <si>
    <t>49а</t>
  </si>
  <si>
    <t>51а</t>
  </si>
  <si>
    <t>Свердловский пр.</t>
  </si>
  <si>
    <t>101А</t>
  </si>
  <si>
    <t>75а</t>
  </si>
  <si>
    <t>Южная</t>
  </si>
  <si>
    <t>2а</t>
  </si>
  <si>
    <t>Водопроводная</t>
  </si>
  <si>
    <t>Калинина</t>
  </si>
  <si>
    <t>2б</t>
  </si>
  <si>
    <t>2в</t>
  </si>
  <si>
    <t>22а</t>
  </si>
  <si>
    <t>Пионерская</t>
  </si>
  <si>
    <t>Витебская</t>
  </si>
  <si>
    <t>1А</t>
  </si>
  <si>
    <t>83а</t>
  </si>
  <si>
    <t>Лесопарковая</t>
  </si>
  <si>
    <t>65а</t>
  </si>
  <si>
    <t>Смирных</t>
  </si>
  <si>
    <t>13а</t>
  </si>
  <si>
    <t>15а</t>
  </si>
  <si>
    <t>1а</t>
  </si>
  <si>
    <t>9А</t>
  </si>
  <si>
    <t>Татьяничевой</t>
  </si>
  <si>
    <t>12а</t>
  </si>
  <si>
    <t>Тернопольская</t>
  </si>
  <si>
    <t>21а</t>
  </si>
  <si>
    <t>42а</t>
  </si>
  <si>
    <t>44а</t>
  </si>
  <si>
    <t>44б</t>
  </si>
  <si>
    <t>46а</t>
  </si>
  <si>
    <t>46б</t>
  </si>
  <si>
    <t>50а</t>
  </si>
  <si>
    <t>14а</t>
  </si>
  <si>
    <t>14б</t>
  </si>
  <si>
    <t>16а</t>
  </si>
  <si>
    <t>18б</t>
  </si>
  <si>
    <t>Варненская</t>
  </si>
  <si>
    <t>Верхнеуральская</t>
  </si>
  <si>
    <t>Гвардейская</t>
  </si>
  <si>
    <t>Заводская</t>
  </si>
  <si>
    <t>8а</t>
  </si>
  <si>
    <t>8б</t>
  </si>
  <si>
    <t>8в</t>
  </si>
  <si>
    <t>Медгородок</t>
  </si>
  <si>
    <t>6б</t>
  </si>
  <si>
    <t>Образцова</t>
  </si>
  <si>
    <t>19а</t>
  </si>
  <si>
    <t>Рубежная</t>
  </si>
  <si>
    <t>Худякова</t>
  </si>
  <si>
    <t>11а</t>
  </si>
  <si>
    <t>17б</t>
  </si>
  <si>
    <t>97а</t>
  </si>
  <si>
    <t>97б</t>
  </si>
  <si>
    <t>99а</t>
  </si>
  <si>
    <t>25б</t>
  </si>
  <si>
    <t>38а</t>
  </si>
  <si>
    <t>Мелькомбинат 2 уч.1</t>
  </si>
  <si>
    <t>Доватора</t>
  </si>
  <si>
    <t>6А</t>
  </si>
  <si>
    <t>88Б</t>
  </si>
  <si>
    <t>Овчинникова</t>
  </si>
  <si>
    <t>БАРБЮСА</t>
  </si>
  <si>
    <t>ВАГНЕРА</t>
  </si>
  <si>
    <t>66а</t>
  </si>
  <si>
    <t>ГРАЖДАНСКАЯ</t>
  </si>
  <si>
    <t>4а</t>
  </si>
  <si>
    <t>Игуменка/Железнодорожная, 166</t>
  </si>
  <si>
    <t>КОПЕЙСКОЕ ШОССЕ</t>
  </si>
  <si>
    <t>39а</t>
  </si>
  <si>
    <t>47Б</t>
  </si>
  <si>
    <t>ПОГРАНИЧНАЯ</t>
  </si>
  <si>
    <t>2А</t>
  </si>
  <si>
    <t>ТУХАЧЕВСКОГО</t>
  </si>
  <si>
    <t>10а</t>
  </si>
  <si>
    <t>ХАРЛОВА</t>
  </si>
  <si>
    <t>Ш.РУСТАВЕЛИ</t>
  </si>
  <si>
    <t>ЭНЕРГЕТИКОВ ПЕР</t>
  </si>
  <si>
    <t>Ю.БУЛЬВАР</t>
  </si>
  <si>
    <t>26а</t>
  </si>
  <si>
    <t>9-е МАЯ</t>
  </si>
  <si>
    <t>АГАЛАКОВА</t>
  </si>
  <si>
    <t>37а</t>
  </si>
  <si>
    <t>ГАГАРИНА</t>
  </si>
  <si>
    <t>4в</t>
  </si>
  <si>
    <t>КОММУНАРОВ</t>
  </si>
  <si>
    <t>12А</t>
  </si>
  <si>
    <t>18а</t>
  </si>
  <si>
    <t>20а</t>
  </si>
  <si>
    <t>24а</t>
  </si>
  <si>
    <t>САРАТОВСКАЯ</t>
  </si>
  <si>
    <t>СТЕПНАЯ</t>
  </si>
  <si>
    <t>ТЕХНИЧЕСКАЯ</t>
  </si>
  <si>
    <t>ТРУБНИКОВ</t>
  </si>
  <si>
    <t>ТЮМЕНСКАЯ</t>
  </si>
  <si>
    <t>ЧЕЛ. РАБОЧИЙ</t>
  </si>
  <si>
    <t>Ш. РУСТАВЕЛЛИ</t>
  </si>
  <si>
    <t>Ш.РУСТАВЕЛЛИ</t>
  </si>
  <si>
    <t>Ш.РУСТАВЕЛЛИ пер.</t>
  </si>
  <si>
    <t>ЭНЕРГЕТИКОВ</t>
  </si>
  <si>
    <t>60А</t>
  </si>
  <si>
    <t>64А</t>
  </si>
  <si>
    <t>ЮЖ. БУЛЬВАР</t>
  </si>
  <si>
    <t>АРМАТУРНЫЙ ПЕР</t>
  </si>
  <si>
    <t>БЕЗЫМЯННАЯ</t>
  </si>
  <si>
    <t>БЕССАРАБСКАЯ</t>
  </si>
  <si>
    <t>ВОЛГОДОНСКАЯ</t>
  </si>
  <si>
    <t>ГОРЕЛОВА</t>
  </si>
  <si>
    <t>ГРУЗОВАЯ</t>
  </si>
  <si>
    <t>КАМЕНСКАЯ</t>
  </si>
  <si>
    <t>Копейское шоссе</t>
  </si>
  <si>
    <t>10А</t>
  </si>
  <si>
    <t>18А</t>
  </si>
  <si>
    <t>1Б</t>
  </si>
  <si>
    <t>1В</t>
  </si>
  <si>
    <t>3А</t>
  </si>
  <si>
    <t>3Б</t>
  </si>
  <si>
    <t>4А</t>
  </si>
  <si>
    <t>8А</t>
  </si>
  <si>
    <t>ПЕР. УЛЬЯНОВСКИЙ</t>
  </si>
  <si>
    <t>ПИРОГОВА</t>
  </si>
  <si>
    <t>пос.МЯСОКОМБИНАТ</t>
  </si>
  <si>
    <t>ПРЕССОВЩИКОВ</t>
  </si>
  <si>
    <t>ПСКОВСКАЯ</t>
  </si>
  <si>
    <t>ТРУБОСВАРОЧНАЯ</t>
  </si>
  <si>
    <t xml:space="preserve">ТРУБОСВАРОЧНАЯ 1-я </t>
  </si>
  <si>
    <t xml:space="preserve">ТРУБОСВАРОЧНАЯ 2-я </t>
  </si>
  <si>
    <t xml:space="preserve">ТРУБОСВАРОЧНАЯ 3-я </t>
  </si>
  <si>
    <t xml:space="preserve">ТРУБОСВАРОЧНАЯ 4-я </t>
  </si>
  <si>
    <t xml:space="preserve">ТРУБОСВАРОЧНАЯ 5-я </t>
  </si>
  <si>
    <t xml:space="preserve">ТРУБОСВАРОЧНАЯ 6-я </t>
  </si>
  <si>
    <t>ТРУБОЭЛЕКТРОСВАРОЧНАЯ</t>
  </si>
  <si>
    <t>УГОЛЬНАЯ</t>
  </si>
  <si>
    <t>УЛЬЯНОВСКАЯ</t>
  </si>
  <si>
    <t>УРАЛЬСКАЯ</t>
  </si>
  <si>
    <t>13А</t>
  </si>
  <si>
    <t>5А</t>
  </si>
  <si>
    <t>7А</t>
  </si>
  <si>
    <t>Общая площадь (м2)</t>
  </si>
  <si>
    <t>Фатеевка                     СТЕПНАЯ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</si>
</sst>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b/>
      <sz val="14"/>
      <name val="Times New Roman Cyr"/>
      <family val="0"/>
    </font>
    <font>
      <sz val="11"/>
      <name val="Times New Roman Cyr"/>
      <family val="1"/>
    </font>
    <font>
      <b/>
      <sz val="18"/>
      <name val="Times New Roman Cyr"/>
      <family val="0"/>
    </font>
    <font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 Cyr"/>
      <family val="1"/>
    </font>
    <font>
      <sz val="8"/>
      <name val="Times New Roman Cyr"/>
      <family val="1"/>
    </font>
    <font>
      <u val="single"/>
      <sz val="11"/>
      <name val="Times New Roman Cyr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1" fillId="0" borderId="0" xfId="17" applyFont="1" applyFill="1" applyBorder="1" applyAlignment="1">
      <alignment vertical="center"/>
      <protection/>
    </xf>
    <xf numFmtId="0" fontId="3" fillId="0" borderId="0" xfId="17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1" xfId="17" applyFill="1" applyBorder="1" applyAlignment="1">
      <alignment horizontal="center" vertical="center"/>
      <protection/>
    </xf>
    <xf numFmtId="0" fontId="5" fillId="2" borderId="2" xfId="17" applyFont="1" applyFill="1" applyBorder="1">
      <alignment/>
      <protection/>
    </xf>
    <xf numFmtId="0" fontId="2" fillId="2" borderId="2" xfId="17" applyFont="1" applyFill="1" applyBorder="1" applyAlignment="1">
      <alignment horizontal="center"/>
      <protection/>
    </xf>
    <xf numFmtId="0" fontId="2" fillId="2" borderId="2" xfId="17" applyFill="1" applyBorder="1" applyAlignment="1">
      <alignment horizontal="center" vertical="center"/>
      <protection/>
    </xf>
    <xf numFmtId="164" fontId="2" fillId="2" borderId="1" xfId="17" applyNumberFormat="1" applyFont="1" applyFill="1" applyBorder="1" applyAlignment="1">
      <alignment horizontal="center" vertical="center"/>
      <protection/>
    </xf>
    <xf numFmtId="0" fontId="2" fillId="0" borderId="3" xfId="17" applyFill="1" applyBorder="1" applyAlignment="1">
      <alignment horizontal="center" vertical="center"/>
      <protection/>
    </xf>
    <xf numFmtId="0" fontId="5" fillId="0" borderId="3" xfId="17" applyFont="1" applyFill="1" applyBorder="1">
      <alignment/>
      <protection/>
    </xf>
    <xf numFmtId="0" fontId="2" fillId="0" borderId="3" xfId="17" applyFont="1" applyFill="1" applyBorder="1" applyAlignment="1">
      <alignment horizontal="center"/>
      <protection/>
    </xf>
    <xf numFmtId="164" fontId="2" fillId="0" borderId="3" xfId="17" applyNumberFormat="1" applyFont="1" applyFill="1" applyBorder="1" applyAlignment="1">
      <alignment horizontal="center" vertical="center"/>
      <protection/>
    </xf>
    <xf numFmtId="0" fontId="2" fillId="0" borderId="3" xfId="17" applyFont="1" applyFill="1" applyBorder="1">
      <alignment/>
      <protection/>
    </xf>
    <xf numFmtId="164" fontId="2" fillId="0" borderId="3" xfId="17" applyNumberFormat="1" applyFill="1" applyBorder="1" applyAlignment="1">
      <alignment horizontal="center" vertical="center"/>
      <protection/>
    </xf>
    <xf numFmtId="0" fontId="2" fillId="0" borderId="3" xfId="17" applyFill="1" applyBorder="1" applyAlignment="1">
      <alignment horizontal="center"/>
      <protection/>
    </xf>
    <xf numFmtId="0" fontId="6" fillId="0" borderId="3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/>
      <protection/>
    </xf>
    <xf numFmtId="164" fontId="6" fillId="0" borderId="3" xfId="17" applyNumberFormat="1" applyFont="1" applyFill="1" applyBorder="1" applyAlignment="1">
      <alignment horizontal="center" vertical="center"/>
      <protection/>
    </xf>
    <xf numFmtId="0" fontId="12" fillId="0" borderId="3" xfId="17" applyFont="1" applyFill="1" applyBorder="1" applyAlignment="1">
      <alignment horizontal="center" vertical="center"/>
      <protection/>
    </xf>
    <xf numFmtId="0" fontId="2" fillId="0" borderId="3" xfId="17" applyFont="1" applyFill="1" applyBorder="1" applyAlignment="1">
      <alignment horizontal="left"/>
      <protection/>
    </xf>
    <xf numFmtId="0" fontId="0" fillId="0" borderId="3" xfId="0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2" fillId="0" borderId="3" xfId="17" applyNumberForma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left"/>
    </xf>
    <xf numFmtId="0" fontId="5" fillId="0" borderId="3" xfId="17" applyFont="1" applyFill="1" applyBorder="1" applyAlignment="1">
      <alignment horizontal="left"/>
      <protection/>
    </xf>
    <xf numFmtId="0" fontId="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wrapText="1"/>
    </xf>
    <xf numFmtId="164" fontId="13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left" wrapText="1"/>
    </xf>
    <xf numFmtId="1" fontId="8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1" fontId="14" fillId="0" borderId="3" xfId="0" applyNumberFormat="1" applyFont="1" applyFill="1" applyBorder="1" applyAlignment="1">
      <alignment horizontal="center" wrapText="1"/>
    </xf>
    <xf numFmtId="0" fontId="4" fillId="2" borderId="0" xfId="17" applyFont="1" applyFill="1" applyAlignment="1">
      <alignment vertical="center"/>
      <protection/>
    </xf>
    <xf numFmtId="0" fontId="4" fillId="2" borderId="4" xfId="17" applyFont="1" applyFill="1" applyBorder="1" applyAlignment="1">
      <alignment vertical="center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0" fontId="10" fillId="0" borderId="5" xfId="17" applyFont="1" applyFill="1" applyBorder="1" applyAlignment="1">
      <alignment horizontal="center" vertical="center" wrapText="1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0" fontId="10" fillId="0" borderId="5" xfId="17" applyFont="1" applyFill="1" applyBorder="1" applyAlignment="1">
      <alignment horizontal="center" vertical="center" textRotation="90" wrapText="1"/>
      <protection/>
    </xf>
    <xf numFmtId="0" fontId="2" fillId="0" borderId="5" xfId="17" applyFont="1" applyFill="1" applyBorder="1" applyAlignment="1">
      <alignment horizontal="center" vertical="center" textRotation="90" wrapText="1"/>
      <protection/>
    </xf>
    <xf numFmtId="0" fontId="11" fillId="0" borderId="5" xfId="17" applyFont="1" applyFill="1" applyBorder="1" applyAlignment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Обычный_Справка о движении площади на 1.10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8"/>
  <sheetViews>
    <sheetView tabSelected="1" workbookViewId="0" topLeftCell="A1">
      <selection activeCell="E5" sqref="E5 G5 J5:K5"/>
    </sheetView>
  </sheetViews>
  <sheetFormatPr defaultColWidth="9.00390625" defaultRowHeight="12.75"/>
  <cols>
    <col min="1" max="1" width="10.375" style="6" customWidth="1"/>
    <col min="2" max="2" width="39.625" style="6" customWidth="1"/>
    <col min="3" max="3" width="17.375" style="7" customWidth="1"/>
    <col min="4" max="4" width="17.375" style="6" customWidth="1"/>
    <col min="5" max="5" width="0.12890625" style="6" hidden="1" customWidth="1"/>
    <col min="6" max="6" width="10.75390625" style="6" hidden="1" customWidth="1"/>
    <col min="7" max="7" width="10.125" style="6" hidden="1" customWidth="1"/>
    <col min="8" max="8" width="9.75390625" style="6" hidden="1" customWidth="1"/>
    <col min="9" max="9" width="9.25390625" style="6" hidden="1" customWidth="1"/>
    <col min="10" max="10" width="9.00390625" style="6" hidden="1" customWidth="1"/>
    <col min="11" max="11" width="9.75390625" style="6" hidden="1" customWidth="1"/>
  </cols>
  <sheetData>
    <row r="1" spans="1:11" ht="18.75" customHeight="1">
      <c r="A1" s="1" t="s">
        <v>0</v>
      </c>
      <c r="B1" s="1"/>
      <c r="C1" s="2"/>
      <c r="D1" s="44"/>
      <c r="E1" s="44"/>
      <c r="F1" s="44"/>
      <c r="G1" s="44"/>
      <c r="H1" s="44"/>
      <c r="I1" s="44"/>
      <c r="J1" s="44"/>
      <c r="K1" s="44"/>
    </row>
    <row r="2" spans="1:11" ht="22.5">
      <c r="A2" s="3" t="s">
        <v>1</v>
      </c>
      <c r="B2" s="3"/>
      <c r="C2" s="4"/>
      <c r="D2" s="45"/>
      <c r="E2" s="45"/>
      <c r="F2" s="45"/>
      <c r="G2" s="45"/>
      <c r="H2" s="45"/>
      <c r="I2" s="45"/>
      <c r="J2" s="45"/>
      <c r="K2" s="45"/>
    </row>
    <row r="3" spans="1:11" s="5" customFormat="1" ht="5.25" customHeight="1">
      <c r="A3" s="46" t="s">
        <v>2</v>
      </c>
      <c r="B3" s="46" t="s">
        <v>3</v>
      </c>
      <c r="C3" s="46" t="s">
        <v>4</v>
      </c>
      <c r="D3" s="48" t="s">
        <v>220</v>
      </c>
      <c r="E3" s="46"/>
      <c r="F3" s="47"/>
      <c r="G3" s="50"/>
      <c r="H3" s="50"/>
      <c r="I3" s="51"/>
      <c r="J3" s="50"/>
      <c r="K3" s="49"/>
    </row>
    <row r="4" spans="1:11" s="5" customFormat="1" ht="28.5" customHeight="1">
      <c r="A4" s="46"/>
      <c r="B4" s="46"/>
      <c r="C4" s="46"/>
      <c r="D4" s="48"/>
      <c r="E4" s="46"/>
      <c r="F4" s="47"/>
      <c r="G4" s="50"/>
      <c r="H4" s="50"/>
      <c r="I4" s="51"/>
      <c r="J4" s="50"/>
      <c r="K4" s="49"/>
    </row>
    <row r="5" spans="1:11" s="5" customFormat="1" ht="15.75" customHeight="1">
      <c r="A5" s="8">
        <v>1</v>
      </c>
      <c r="B5" s="9" t="s">
        <v>5</v>
      </c>
      <c r="C5" s="10">
        <v>100</v>
      </c>
      <c r="D5" s="12">
        <f aca="true" t="shared" si="0" ref="D5:D68">SUM(E5+G5+J5+K5)</f>
        <v>3192.5</v>
      </c>
      <c r="E5" s="11">
        <f>2543.4+68-29</f>
        <v>2582.4</v>
      </c>
      <c r="F5" s="11">
        <f>1677.9-1.9-17.2</f>
        <v>1658.8</v>
      </c>
      <c r="G5" s="11">
        <f>29+581.1</f>
        <v>610.1</v>
      </c>
      <c r="H5" s="11"/>
      <c r="I5" s="11"/>
      <c r="J5" s="11"/>
      <c r="K5" s="11"/>
    </row>
    <row r="6" spans="1:11" s="5" customFormat="1" ht="15.75" customHeight="1">
      <c r="A6" s="13">
        <f aca="true" t="shared" si="1" ref="A6:A69">A5+1</f>
        <v>2</v>
      </c>
      <c r="B6" s="14" t="s">
        <v>6</v>
      </c>
      <c r="C6" s="15">
        <v>45</v>
      </c>
      <c r="D6" s="16">
        <f t="shared" si="0"/>
        <v>3996.8000000000006</v>
      </c>
      <c r="E6" s="13">
        <f>3190-187.1-2.2</f>
        <v>3000.7000000000003</v>
      </c>
      <c r="F6" s="13">
        <f>1823.7-112.9</f>
        <v>1710.8</v>
      </c>
      <c r="G6" s="13">
        <f>187.1+8.6+701</f>
        <v>896.7</v>
      </c>
      <c r="H6" s="13"/>
      <c r="I6" s="13"/>
      <c r="J6" s="13">
        <f>259.6-160.2</f>
        <v>99.40000000000003</v>
      </c>
      <c r="K6" s="13"/>
    </row>
    <row r="7" spans="1:11" s="5" customFormat="1" ht="15.75" customHeight="1">
      <c r="A7" s="13">
        <f t="shared" si="1"/>
        <v>3</v>
      </c>
      <c r="B7" s="17" t="s">
        <v>7</v>
      </c>
      <c r="C7" s="15">
        <v>52</v>
      </c>
      <c r="D7" s="16">
        <f t="shared" si="0"/>
        <v>1670.2</v>
      </c>
      <c r="E7" s="18">
        <f>1398.1-51-6.6</f>
        <v>1340.5</v>
      </c>
      <c r="F7" s="13">
        <f>984.7-129.9</f>
        <v>854.8000000000001</v>
      </c>
      <c r="G7" s="18">
        <f>81.3+166.2+53.2</f>
        <v>300.7</v>
      </c>
      <c r="H7" s="13">
        <v>81.3</v>
      </c>
      <c r="I7" s="13"/>
      <c r="J7" s="18">
        <v>29</v>
      </c>
      <c r="K7" s="18"/>
    </row>
    <row r="8" spans="1:11" s="5" customFormat="1" ht="15.75" customHeight="1">
      <c r="A8" s="13">
        <f t="shared" si="1"/>
        <v>4</v>
      </c>
      <c r="B8" s="17" t="s">
        <v>8</v>
      </c>
      <c r="C8" s="19">
        <v>86</v>
      </c>
      <c r="D8" s="16">
        <f t="shared" si="0"/>
        <v>7806.5</v>
      </c>
      <c r="E8" s="18">
        <f>5470-57.6+5.3</f>
        <v>5417.7</v>
      </c>
      <c r="F8" s="18">
        <f>3266.9+8-36.8</f>
        <v>3238.1</v>
      </c>
      <c r="G8" s="18">
        <f>624.6+57.6+12</f>
        <v>694.2</v>
      </c>
      <c r="H8" s="13">
        <f>792.1-167.5</f>
        <v>624.6</v>
      </c>
      <c r="I8" s="13"/>
      <c r="J8" s="13">
        <f>78+105.2</f>
        <v>183.2</v>
      </c>
      <c r="K8" s="13">
        <f>1343.9+167.5</f>
        <v>1511.4</v>
      </c>
    </row>
    <row r="9" spans="1:11" s="5" customFormat="1" ht="15.75" customHeight="1">
      <c r="A9" s="13">
        <f t="shared" si="1"/>
        <v>5</v>
      </c>
      <c r="B9" s="17" t="s">
        <v>8</v>
      </c>
      <c r="C9" s="19">
        <v>110</v>
      </c>
      <c r="D9" s="16">
        <f t="shared" si="0"/>
        <v>4077.7</v>
      </c>
      <c r="E9" s="18">
        <f>2948.8+20.4</f>
        <v>2969.2000000000003</v>
      </c>
      <c r="F9" s="18">
        <f>2096.5+46.7</f>
        <v>2143.2</v>
      </c>
      <c r="G9" s="18">
        <f>439.2-68.4</f>
        <v>370.79999999999995</v>
      </c>
      <c r="H9" s="18">
        <v>439.2</v>
      </c>
      <c r="I9" s="18"/>
      <c r="J9" s="13">
        <v>79.4</v>
      </c>
      <c r="K9" s="13">
        <v>658.3</v>
      </c>
    </row>
    <row r="10" spans="1:11" s="5" customFormat="1" ht="15.75" customHeight="1">
      <c r="A10" s="13">
        <f t="shared" si="1"/>
        <v>6</v>
      </c>
      <c r="B10" s="17" t="s">
        <v>8</v>
      </c>
      <c r="C10" s="20">
        <v>163</v>
      </c>
      <c r="D10" s="16">
        <f t="shared" si="0"/>
        <v>4462.400000000001</v>
      </c>
      <c r="E10" s="13">
        <f>3557.2-764.6+2.4-59.6-63.9</f>
        <v>2671.5</v>
      </c>
      <c r="F10" s="18">
        <f>2689.8-564.2-44.9-49.4</f>
        <v>2031.3000000000002</v>
      </c>
      <c r="G10" s="18">
        <f>778.2+764.6+59.6+63.9</f>
        <v>1666.3000000000002</v>
      </c>
      <c r="H10" s="18"/>
      <c r="I10" s="18"/>
      <c r="J10" s="13">
        <v>124.6</v>
      </c>
      <c r="K10" s="13">
        <v>0</v>
      </c>
    </row>
    <row r="11" spans="1:11" s="5" customFormat="1" ht="15.75" customHeight="1">
      <c r="A11" s="13">
        <f t="shared" si="1"/>
        <v>7</v>
      </c>
      <c r="B11" s="17" t="s">
        <v>8</v>
      </c>
      <c r="C11" s="19">
        <v>167</v>
      </c>
      <c r="D11" s="16">
        <f t="shared" si="0"/>
        <v>8214.199999999999</v>
      </c>
      <c r="E11" s="18">
        <f>4949+1-0.8-0.3</f>
        <v>4948.9</v>
      </c>
      <c r="F11" s="18">
        <f>2913.9-1.5</f>
        <v>2912.4</v>
      </c>
      <c r="G11" s="18">
        <f>1913.5+972.2+263.6</f>
        <v>3149.2999999999997</v>
      </c>
      <c r="H11" s="18">
        <v>1839.5</v>
      </c>
      <c r="I11" s="18">
        <v>74</v>
      </c>
      <c r="J11" s="13">
        <f>216.3-100.3</f>
        <v>116.00000000000001</v>
      </c>
      <c r="K11" s="13"/>
    </row>
    <row r="12" spans="1:11" s="5" customFormat="1" ht="15.75" customHeight="1">
      <c r="A12" s="13">
        <f t="shared" si="1"/>
        <v>8</v>
      </c>
      <c r="B12" s="17" t="s">
        <v>9</v>
      </c>
      <c r="C12" s="15">
        <v>69</v>
      </c>
      <c r="D12" s="16">
        <f t="shared" si="0"/>
        <v>28524.899999999998</v>
      </c>
      <c r="E12" s="16">
        <f>20876.4-0.9-31.2+36.1</f>
        <v>20880.399999999998</v>
      </c>
      <c r="F12" s="16">
        <f>21521.5-8299.5</f>
        <v>13222</v>
      </c>
      <c r="G12" s="16">
        <f>5941+1390</f>
        <v>7331</v>
      </c>
      <c r="H12" s="16">
        <v>5941</v>
      </c>
      <c r="I12" s="16"/>
      <c r="J12" s="21">
        <f>1937.8-1588.2-36.1</f>
        <v>313.4999999999999</v>
      </c>
      <c r="K12" s="22"/>
    </row>
    <row r="13" spans="1:11" s="5" customFormat="1" ht="15.75" customHeight="1">
      <c r="A13" s="13">
        <f t="shared" si="1"/>
        <v>9</v>
      </c>
      <c r="B13" s="17" t="s">
        <v>10</v>
      </c>
      <c r="C13" s="19">
        <v>69</v>
      </c>
      <c r="D13" s="16">
        <f t="shared" si="0"/>
        <v>3732.5000000000005</v>
      </c>
      <c r="E13" s="13">
        <f>2797.8-86.6-74.5-30.2-30.7-2.3-1.5</f>
        <v>2572.0000000000005</v>
      </c>
      <c r="F13" s="13">
        <f>1801.5-57.3-18.4-18.4-51.2</f>
        <v>1656.1999999999998</v>
      </c>
      <c r="G13" s="13">
        <f>105.9+744.2+30.2+30.7-186+416.1</f>
        <v>1141.1000000000001</v>
      </c>
      <c r="H13" s="13">
        <v>19.3</v>
      </c>
      <c r="I13" s="13"/>
      <c r="J13" s="13">
        <f>41+74.5-96.1</f>
        <v>19.400000000000006</v>
      </c>
      <c r="K13" s="13"/>
    </row>
    <row r="14" spans="1:11" s="5" customFormat="1" ht="15.75" customHeight="1">
      <c r="A14" s="13">
        <f t="shared" si="1"/>
        <v>10</v>
      </c>
      <c r="B14" s="17" t="s">
        <v>11</v>
      </c>
      <c r="C14" s="19">
        <v>88</v>
      </c>
      <c r="D14" s="16">
        <f t="shared" si="0"/>
        <v>162.8</v>
      </c>
      <c r="E14" s="13">
        <v>162.8</v>
      </c>
      <c r="F14" s="18">
        <v>131</v>
      </c>
      <c r="G14" s="18"/>
      <c r="H14" s="13"/>
      <c r="I14" s="13"/>
      <c r="J14" s="13">
        <v>0</v>
      </c>
      <c r="K14" s="13"/>
    </row>
    <row r="15" spans="1:11" s="5" customFormat="1" ht="15.75" customHeight="1">
      <c r="A15" s="13">
        <f t="shared" si="1"/>
        <v>11</v>
      </c>
      <c r="B15" s="17" t="s">
        <v>11</v>
      </c>
      <c r="C15" s="15">
        <v>109</v>
      </c>
      <c r="D15" s="16">
        <f t="shared" si="0"/>
        <v>3875.4</v>
      </c>
      <c r="E15" s="18">
        <f>3774-60.6+1.6+3.8</f>
        <v>3718.8</v>
      </c>
      <c r="F15" s="18">
        <f>2291.1-38.1</f>
        <v>2253</v>
      </c>
      <c r="G15" s="18">
        <f>60.6+24.3</f>
        <v>84.9</v>
      </c>
      <c r="H15" s="13"/>
      <c r="I15" s="13"/>
      <c r="J15" s="13">
        <f>24.6+47.1</f>
        <v>71.7</v>
      </c>
      <c r="K15" s="13"/>
    </row>
    <row r="16" spans="1:11" s="5" customFormat="1" ht="15.75" customHeight="1">
      <c r="A16" s="13">
        <f t="shared" si="1"/>
        <v>12</v>
      </c>
      <c r="B16" s="17" t="s">
        <v>11</v>
      </c>
      <c r="C16" s="19">
        <v>111</v>
      </c>
      <c r="D16" s="16">
        <f t="shared" si="0"/>
        <v>3218.2</v>
      </c>
      <c r="E16" s="18">
        <f>2695.5-61</f>
        <v>2634.5</v>
      </c>
      <c r="F16" s="18">
        <f>1821.6-53.2</f>
        <v>1768.3999999999999</v>
      </c>
      <c r="G16" s="18">
        <f>536.1+18.5</f>
        <v>554.6</v>
      </c>
      <c r="H16" s="18">
        <v>536.1</v>
      </c>
      <c r="I16" s="18"/>
      <c r="J16" s="13">
        <v>29.1</v>
      </c>
      <c r="K16" s="13"/>
    </row>
    <row r="17" spans="1:11" s="5" customFormat="1" ht="15.75" customHeight="1">
      <c r="A17" s="13">
        <f t="shared" si="1"/>
        <v>13</v>
      </c>
      <c r="B17" s="17" t="s">
        <v>12</v>
      </c>
      <c r="C17" s="19">
        <v>40</v>
      </c>
      <c r="D17" s="16">
        <f t="shared" si="0"/>
        <v>3150.3000000000006</v>
      </c>
      <c r="E17" s="18">
        <f>2229.8+28.9+17.8</f>
        <v>2276.5000000000005</v>
      </c>
      <c r="F17" s="18">
        <f>1437.2+16</f>
        <v>1453.2</v>
      </c>
      <c r="G17" s="18">
        <f>612.5-6.3+238.3</f>
        <v>844.5</v>
      </c>
      <c r="H17" s="13">
        <v>612.5</v>
      </c>
      <c r="I17" s="13"/>
      <c r="J17" s="18">
        <v>29.3</v>
      </c>
      <c r="K17" s="18"/>
    </row>
    <row r="18" spans="1:11" s="5" customFormat="1" ht="15.75" customHeight="1">
      <c r="A18" s="13">
        <f t="shared" si="1"/>
        <v>14</v>
      </c>
      <c r="B18" s="17" t="s">
        <v>12</v>
      </c>
      <c r="C18" s="15">
        <v>48</v>
      </c>
      <c r="D18" s="16">
        <f t="shared" si="0"/>
        <v>5390.200000000001</v>
      </c>
      <c r="E18" s="13">
        <f>3773.6-31.5-7.1-0.7-17.2</f>
        <v>3717.1000000000004</v>
      </c>
      <c r="F18" s="13">
        <f>2261.6-20.2</f>
        <v>2241.4</v>
      </c>
      <c r="G18" s="13">
        <f>1261.9-12.1</f>
        <v>1249.8000000000002</v>
      </c>
      <c r="H18" s="13"/>
      <c r="I18" s="13"/>
      <c r="J18" s="13">
        <f>159.8+31.5+232</f>
        <v>423.3</v>
      </c>
      <c r="K18" s="13"/>
    </row>
    <row r="19" spans="1:11" s="5" customFormat="1" ht="15.75" customHeight="1">
      <c r="A19" s="13">
        <f t="shared" si="1"/>
        <v>15</v>
      </c>
      <c r="B19" s="17" t="s">
        <v>12</v>
      </c>
      <c r="C19" s="19">
        <v>61</v>
      </c>
      <c r="D19" s="16">
        <f t="shared" si="0"/>
        <v>6603.799999999999</v>
      </c>
      <c r="E19" s="13">
        <f>4758.7-88.6-57.6</f>
        <v>4612.499999999999</v>
      </c>
      <c r="F19" s="13">
        <f>3266.6-61-37</f>
        <v>3168.6</v>
      </c>
      <c r="G19" s="13">
        <f>1727.2+57.6</f>
        <v>1784.8</v>
      </c>
      <c r="H19" s="13">
        <v>1638.6</v>
      </c>
      <c r="I19" s="13"/>
      <c r="J19" s="13">
        <v>0</v>
      </c>
      <c r="K19" s="13">
        <v>206.5</v>
      </c>
    </row>
    <row r="20" spans="1:11" s="5" customFormat="1" ht="15.75" customHeight="1">
      <c r="A20" s="13">
        <f t="shared" si="1"/>
        <v>16</v>
      </c>
      <c r="B20" s="17" t="s">
        <v>12</v>
      </c>
      <c r="C20" s="15">
        <v>62</v>
      </c>
      <c r="D20" s="16">
        <f t="shared" si="0"/>
        <v>2822.5</v>
      </c>
      <c r="E20" s="13">
        <v>1693.9</v>
      </c>
      <c r="F20" s="13">
        <v>1141.3</v>
      </c>
      <c r="G20" s="13">
        <v>1001.4</v>
      </c>
      <c r="H20" s="13"/>
      <c r="I20" s="13"/>
      <c r="J20" s="13">
        <f>505.6-378.4</f>
        <v>127.20000000000005</v>
      </c>
      <c r="K20" s="13"/>
    </row>
    <row r="21" spans="1:11" s="5" customFormat="1" ht="15.75" customHeight="1">
      <c r="A21" s="13">
        <f t="shared" si="1"/>
        <v>17</v>
      </c>
      <c r="B21" s="17" t="s">
        <v>13</v>
      </c>
      <c r="C21" s="19" t="s">
        <v>14</v>
      </c>
      <c r="D21" s="16">
        <f t="shared" si="0"/>
        <v>9723.499999999998</v>
      </c>
      <c r="E21" s="18">
        <f>6875-32.5-49.8+72-3.1</f>
        <v>6861.599999999999</v>
      </c>
      <c r="F21" s="18">
        <f>3170.9-14.7-49.6+1371.5-247.8</f>
        <v>4230.3</v>
      </c>
      <c r="G21" s="18">
        <f>1396.4+513.3+661.7+131.1</f>
        <v>2702.5</v>
      </c>
      <c r="H21" s="18">
        <v>1314.1</v>
      </c>
      <c r="I21" s="18"/>
      <c r="J21" s="13">
        <f>204.4-45</f>
        <v>159.4</v>
      </c>
      <c r="K21" s="13"/>
    </row>
    <row r="22" spans="1:11" s="5" customFormat="1" ht="15.75" customHeight="1">
      <c r="A22" s="13">
        <f t="shared" si="1"/>
        <v>18</v>
      </c>
      <c r="B22" s="17" t="s">
        <v>15</v>
      </c>
      <c r="C22" s="19">
        <v>25</v>
      </c>
      <c r="D22" s="16">
        <f t="shared" si="0"/>
        <v>3604.7</v>
      </c>
      <c r="E22" s="18">
        <f>3531.4-50.3-50.3</f>
        <v>3430.7999999999997</v>
      </c>
      <c r="F22" s="18">
        <f>2137.3-29.4-29.3</f>
        <v>2078.6</v>
      </c>
      <c r="G22" s="18">
        <f>50.3+50.3</f>
        <v>100.6</v>
      </c>
      <c r="H22" s="13"/>
      <c r="I22" s="13"/>
      <c r="J22" s="13">
        <f>17+56.3</f>
        <v>73.3</v>
      </c>
      <c r="K22" s="13"/>
    </row>
    <row r="23" spans="1:11" s="5" customFormat="1" ht="15.75" customHeight="1">
      <c r="A23" s="13">
        <f t="shared" si="1"/>
        <v>19</v>
      </c>
      <c r="B23" s="17" t="s">
        <v>15</v>
      </c>
      <c r="C23" s="19">
        <v>27</v>
      </c>
      <c r="D23" s="16">
        <f t="shared" si="0"/>
        <v>2349.1</v>
      </c>
      <c r="E23" s="18">
        <f>1873-51.7+52.4</f>
        <v>1873.7</v>
      </c>
      <c r="F23" s="18">
        <f>1088.4-28.8+30.5</f>
        <v>1090.1000000000001</v>
      </c>
      <c r="G23" s="18">
        <f>507.8-2.2-51.7</f>
        <v>453.90000000000003</v>
      </c>
      <c r="H23" s="18">
        <v>116.7</v>
      </c>
      <c r="I23" s="18"/>
      <c r="J23" s="13">
        <v>21.5</v>
      </c>
      <c r="K23" s="13"/>
    </row>
    <row r="24" spans="1:11" s="5" customFormat="1" ht="15.75" customHeight="1">
      <c r="A24" s="13">
        <f t="shared" si="1"/>
        <v>20</v>
      </c>
      <c r="B24" s="17" t="s">
        <v>15</v>
      </c>
      <c r="C24" s="15">
        <v>30</v>
      </c>
      <c r="D24" s="16">
        <f t="shared" si="0"/>
        <v>4019.2</v>
      </c>
      <c r="E24" s="18">
        <f>3576.2-56.7</f>
        <v>3519.5</v>
      </c>
      <c r="F24" s="18">
        <f>2091.9-30.5</f>
        <v>2061.4</v>
      </c>
      <c r="G24" s="18">
        <v>400</v>
      </c>
      <c r="H24" s="13">
        <v>343.3</v>
      </c>
      <c r="I24" s="13"/>
      <c r="J24" s="13">
        <v>99.7</v>
      </c>
      <c r="K24" s="13"/>
    </row>
    <row r="25" spans="1:11" s="5" customFormat="1" ht="15.75" customHeight="1">
      <c r="A25" s="13">
        <f t="shared" si="1"/>
        <v>21</v>
      </c>
      <c r="B25" s="17" t="s">
        <v>15</v>
      </c>
      <c r="C25" s="19">
        <v>32</v>
      </c>
      <c r="D25" s="16">
        <f t="shared" si="0"/>
        <v>1757</v>
      </c>
      <c r="E25" s="18">
        <f>1381.7-0.7-33.2</f>
        <v>1347.8</v>
      </c>
      <c r="F25" s="18">
        <f>812.3-1.4-18.4</f>
        <v>792.5</v>
      </c>
      <c r="G25" s="18">
        <f>306.8+33.2</f>
        <v>340</v>
      </c>
      <c r="H25" s="13">
        <v>306.8</v>
      </c>
      <c r="I25" s="13"/>
      <c r="J25" s="13">
        <v>69.2</v>
      </c>
      <c r="K25" s="13"/>
    </row>
    <row r="26" spans="1:11" s="5" customFormat="1" ht="15.75" customHeight="1">
      <c r="A26" s="13">
        <f t="shared" si="1"/>
        <v>22</v>
      </c>
      <c r="B26" s="17" t="s">
        <v>15</v>
      </c>
      <c r="C26" s="15">
        <v>32</v>
      </c>
      <c r="D26" s="16">
        <f t="shared" si="0"/>
        <v>6683.599999999999</v>
      </c>
      <c r="E26" s="13">
        <f>4533+146.2-115.5</f>
        <v>4563.7</v>
      </c>
      <c r="F26" s="13">
        <f>3499.4-351.8-75.9</f>
        <v>3071.7</v>
      </c>
      <c r="G26" s="13">
        <f>981.6+115.5</f>
        <v>1097.1</v>
      </c>
      <c r="H26" s="13"/>
      <c r="I26" s="13"/>
      <c r="J26" s="13">
        <v>1022.8</v>
      </c>
      <c r="K26" s="13"/>
    </row>
    <row r="27" spans="1:11" s="5" customFormat="1" ht="15.75" customHeight="1">
      <c r="A27" s="13">
        <f t="shared" si="1"/>
        <v>23</v>
      </c>
      <c r="B27" s="17" t="s">
        <v>15</v>
      </c>
      <c r="C27" s="15">
        <v>48</v>
      </c>
      <c r="D27" s="16">
        <f t="shared" si="0"/>
        <v>7884.9</v>
      </c>
      <c r="E27" s="13">
        <f>5861.4+56.7-3</f>
        <v>5915.099999999999</v>
      </c>
      <c r="F27" s="13">
        <v>3202.7</v>
      </c>
      <c r="G27" s="13">
        <v>1835.8</v>
      </c>
      <c r="H27" s="13"/>
      <c r="I27" s="13"/>
      <c r="J27" s="13">
        <v>134</v>
      </c>
      <c r="K27" s="13"/>
    </row>
    <row r="28" spans="1:11" s="5" customFormat="1" ht="15.75" customHeight="1">
      <c r="A28" s="13">
        <f t="shared" si="1"/>
        <v>24</v>
      </c>
      <c r="B28" s="17" t="s">
        <v>15</v>
      </c>
      <c r="C28" s="15">
        <v>55</v>
      </c>
      <c r="D28" s="16">
        <f t="shared" si="0"/>
        <v>4082.1</v>
      </c>
      <c r="E28" s="18">
        <v>3655.1</v>
      </c>
      <c r="F28" s="18">
        <v>2144.7</v>
      </c>
      <c r="G28" s="18">
        <v>151.4</v>
      </c>
      <c r="H28" s="13">
        <v>151.4</v>
      </c>
      <c r="I28" s="13"/>
      <c r="J28" s="13">
        <v>96.7</v>
      </c>
      <c r="K28" s="13">
        <v>178.9</v>
      </c>
    </row>
    <row r="29" spans="1:11" s="5" customFormat="1" ht="15.75" customHeight="1">
      <c r="A29" s="13">
        <f t="shared" si="1"/>
        <v>25</v>
      </c>
      <c r="B29" s="17" t="s">
        <v>15</v>
      </c>
      <c r="C29" s="19" t="s">
        <v>16</v>
      </c>
      <c r="D29" s="16">
        <f t="shared" si="0"/>
        <v>4141.2</v>
      </c>
      <c r="E29" s="18">
        <f>3631-39.5-236.5-38.6</f>
        <v>3316.4</v>
      </c>
      <c r="F29" s="18">
        <f>2460.9-22.7-96.5-22.7</f>
        <v>2319.0000000000005</v>
      </c>
      <c r="G29" s="18">
        <f>579.5+38.6</f>
        <v>618.1</v>
      </c>
      <c r="H29" s="18">
        <v>126.5</v>
      </c>
      <c r="I29" s="18">
        <v>177</v>
      </c>
      <c r="J29" s="13">
        <v>206.7</v>
      </c>
      <c r="K29" s="13"/>
    </row>
    <row r="30" spans="1:11" s="5" customFormat="1" ht="15.75" customHeight="1">
      <c r="A30" s="13">
        <f t="shared" si="1"/>
        <v>26</v>
      </c>
      <c r="B30" s="17" t="s">
        <v>15</v>
      </c>
      <c r="C30" s="19" t="s">
        <v>17</v>
      </c>
      <c r="D30" s="16">
        <f t="shared" si="0"/>
        <v>1103.6000000000001</v>
      </c>
      <c r="E30" s="18">
        <f>871.5-62.8-2.6</f>
        <v>806.1</v>
      </c>
      <c r="F30" s="13">
        <f>567.4-41.7</f>
        <v>525.6999999999999</v>
      </c>
      <c r="G30" s="18">
        <f>62+62.8+103.6</f>
        <v>228.39999999999998</v>
      </c>
      <c r="H30" s="18">
        <v>62</v>
      </c>
      <c r="I30" s="18"/>
      <c r="J30" s="13">
        <v>11.2</v>
      </c>
      <c r="K30" s="13">
        <v>57.9</v>
      </c>
    </row>
    <row r="31" spans="1:11" s="5" customFormat="1" ht="15.75" customHeight="1">
      <c r="A31" s="13">
        <f t="shared" si="1"/>
        <v>27</v>
      </c>
      <c r="B31" s="17" t="s">
        <v>15</v>
      </c>
      <c r="C31" s="19" t="s">
        <v>18</v>
      </c>
      <c r="D31" s="16">
        <f t="shared" si="0"/>
        <v>630.7</v>
      </c>
      <c r="E31" s="18">
        <v>630.7</v>
      </c>
      <c r="F31" s="13">
        <v>413.8</v>
      </c>
      <c r="G31" s="18"/>
      <c r="H31" s="13"/>
      <c r="I31" s="13"/>
      <c r="J31" s="13">
        <v>0</v>
      </c>
      <c r="K31" s="13"/>
    </row>
    <row r="32" spans="1:11" s="5" customFormat="1" ht="15.75" customHeight="1">
      <c r="A32" s="13">
        <f t="shared" si="1"/>
        <v>28</v>
      </c>
      <c r="B32" s="17" t="s">
        <v>19</v>
      </c>
      <c r="C32" s="15">
        <v>196</v>
      </c>
      <c r="D32" s="16">
        <f t="shared" si="0"/>
        <v>4269.6</v>
      </c>
      <c r="E32" s="18">
        <f>3849.4-61.7+14.3+1.4-74.6</f>
        <v>3728.8000000000006</v>
      </c>
      <c r="F32" s="18">
        <f>2338.4-38.4-49.7</f>
        <v>2250.3</v>
      </c>
      <c r="G32" s="18">
        <f>331.3+61.7+74.6</f>
        <v>467.6</v>
      </c>
      <c r="H32" s="18">
        <v>331.3</v>
      </c>
      <c r="I32" s="18"/>
      <c r="J32" s="13">
        <f>89.3-16.1</f>
        <v>73.19999999999999</v>
      </c>
      <c r="K32" s="13"/>
    </row>
    <row r="33" spans="1:11" s="5" customFormat="1" ht="15.75" customHeight="1">
      <c r="A33" s="13">
        <f t="shared" si="1"/>
        <v>29</v>
      </c>
      <c r="B33" s="17" t="s">
        <v>19</v>
      </c>
      <c r="C33" s="19">
        <v>198</v>
      </c>
      <c r="D33" s="16">
        <f t="shared" si="0"/>
        <v>3498.8</v>
      </c>
      <c r="E33" s="18">
        <f>2718.4-0.5</f>
        <v>2717.9</v>
      </c>
      <c r="F33" s="18">
        <v>1829.8</v>
      </c>
      <c r="G33" s="18">
        <v>466.3</v>
      </c>
      <c r="H33" s="18">
        <v>466.3</v>
      </c>
      <c r="I33" s="18"/>
      <c r="J33" s="13">
        <v>63.2</v>
      </c>
      <c r="K33" s="13">
        <v>251.4</v>
      </c>
    </row>
    <row r="34" spans="1:11" s="5" customFormat="1" ht="15.75" customHeight="1">
      <c r="A34" s="13">
        <f t="shared" si="1"/>
        <v>30</v>
      </c>
      <c r="B34" s="17" t="s">
        <v>19</v>
      </c>
      <c r="C34" s="20">
        <v>200</v>
      </c>
      <c r="D34" s="16">
        <f t="shared" si="0"/>
        <v>5225.099999999999</v>
      </c>
      <c r="E34" s="13">
        <v>3607.4</v>
      </c>
      <c r="F34" s="18">
        <v>2218.2</v>
      </c>
      <c r="G34" s="18">
        <v>1597</v>
      </c>
      <c r="H34" s="18"/>
      <c r="I34" s="18"/>
      <c r="J34" s="13">
        <v>20.7</v>
      </c>
      <c r="K34" s="13">
        <v>0</v>
      </c>
    </row>
    <row r="35" spans="1:11" s="5" customFormat="1" ht="15.75" customHeight="1">
      <c r="A35" s="13">
        <f t="shared" si="1"/>
        <v>31</v>
      </c>
      <c r="B35" s="17" t="s">
        <v>19</v>
      </c>
      <c r="C35" s="15" t="s">
        <v>20</v>
      </c>
      <c r="D35" s="16">
        <f t="shared" si="0"/>
        <v>3951.5</v>
      </c>
      <c r="E35" s="18">
        <f>3863.3-51.4</f>
        <v>3811.9</v>
      </c>
      <c r="F35" s="18">
        <f>2348.5-18.9</f>
        <v>2329.6</v>
      </c>
      <c r="G35" s="18">
        <f>51.4+16.6</f>
        <v>68</v>
      </c>
      <c r="H35" s="18"/>
      <c r="I35" s="18"/>
      <c r="J35" s="13">
        <f>88.4-16.8</f>
        <v>71.60000000000001</v>
      </c>
      <c r="K35" s="13"/>
    </row>
    <row r="36" spans="1:11" s="5" customFormat="1" ht="15.75" customHeight="1">
      <c r="A36" s="13">
        <f t="shared" si="1"/>
        <v>32</v>
      </c>
      <c r="B36" s="17" t="s">
        <v>21</v>
      </c>
      <c r="C36" s="19">
        <v>26</v>
      </c>
      <c r="D36" s="16">
        <f t="shared" si="0"/>
        <v>24067.100000000006</v>
      </c>
      <c r="E36" s="13">
        <f>17151.4-1.3+17.7+33.2+5.4+3.8</f>
        <v>17210.200000000004</v>
      </c>
      <c r="F36" s="13">
        <v>10347.4</v>
      </c>
      <c r="G36" s="13">
        <v>1529.2</v>
      </c>
      <c r="H36" s="13">
        <v>1529.2</v>
      </c>
      <c r="I36" s="13"/>
      <c r="J36" s="13">
        <f>525.1-272.8</f>
        <v>252.3</v>
      </c>
      <c r="K36" s="13">
        <v>5075.4</v>
      </c>
    </row>
    <row r="37" spans="1:11" s="5" customFormat="1" ht="15.75" customHeight="1">
      <c r="A37" s="13">
        <f t="shared" si="1"/>
        <v>33</v>
      </c>
      <c r="B37" s="17" t="s">
        <v>22</v>
      </c>
      <c r="C37" s="19">
        <v>44</v>
      </c>
      <c r="D37" s="16">
        <f t="shared" si="0"/>
        <v>3392.7999999999997</v>
      </c>
      <c r="E37" s="18">
        <f>2889.2-82.5-50.7-40.6-36.8</f>
        <v>2678.6</v>
      </c>
      <c r="F37" s="18">
        <f>1792.6-52.3-32.1-26.5-18.2</f>
        <v>1663.5</v>
      </c>
      <c r="G37" s="18">
        <f>279.9+40.6+36.8</f>
        <v>357.3</v>
      </c>
      <c r="H37" s="18">
        <v>146.7</v>
      </c>
      <c r="I37" s="18"/>
      <c r="J37" s="13">
        <v>42.2</v>
      </c>
      <c r="K37" s="13">
        <v>314.7</v>
      </c>
    </row>
    <row r="38" spans="1:11" s="5" customFormat="1" ht="15.75" customHeight="1">
      <c r="A38" s="13">
        <f t="shared" si="1"/>
        <v>34</v>
      </c>
      <c r="B38" s="17" t="s">
        <v>22</v>
      </c>
      <c r="C38" s="15">
        <v>62</v>
      </c>
      <c r="D38" s="16">
        <f t="shared" si="0"/>
        <v>3868.2</v>
      </c>
      <c r="E38" s="13">
        <f>3268-90.1</f>
        <v>3177.9</v>
      </c>
      <c r="F38" s="13">
        <v>2126</v>
      </c>
      <c r="G38" s="13">
        <v>599.6</v>
      </c>
      <c r="H38" s="13"/>
      <c r="I38" s="13"/>
      <c r="J38" s="13">
        <f>1.8+90.1-1.2</f>
        <v>90.69999999999999</v>
      </c>
      <c r="K38" s="13"/>
    </row>
    <row r="39" spans="1:11" s="5" customFormat="1" ht="15.75" customHeight="1">
      <c r="A39" s="13">
        <f t="shared" si="1"/>
        <v>35</v>
      </c>
      <c r="B39" s="17" t="s">
        <v>22</v>
      </c>
      <c r="C39" s="20">
        <v>66</v>
      </c>
      <c r="D39" s="16">
        <f t="shared" si="0"/>
        <v>4971</v>
      </c>
      <c r="E39" s="18">
        <f>4552-264.1</f>
        <v>4287.9</v>
      </c>
      <c r="F39" s="18">
        <f>2660.5-155.4</f>
        <v>2505.1</v>
      </c>
      <c r="G39" s="18">
        <f>230.4+264.1</f>
        <v>494.5</v>
      </c>
      <c r="H39" s="18"/>
      <c r="I39" s="18"/>
      <c r="J39" s="13">
        <f>46.1+4.2+2.3+104.2+6.9+24.9</f>
        <v>188.60000000000002</v>
      </c>
      <c r="K39" s="13">
        <v>0</v>
      </c>
    </row>
    <row r="40" spans="1:11" s="5" customFormat="1" ht="15.75" customHeight="1">
      <c r="A40" s="13">
        <f t="shared" si="1"/>
        <v>36</v>
      </c>
      <c r="B40" s="17" t="s">
        <v>22</v>
      </c>
      <c r="C40" s="20" t="s">
        <v>23</v>
      </c>
      <c r="D40" s="16">
        <f t="shared" si="0"/>
        <v>960.2</v>
      </c>
      <c r="E40" s="13">
        <v>960.2</v>
      </c>
      <c r="F40" s="18">
        <v>585.3</v>
      </c>
      <c r="G40" s="18"/>
      <c r="H40" s="18"/>
      <c r="I40" s="18"/>
      <c r="J40" s="13">
        <v>0</v>
      </c>
      <c r="K40" s="13">
        <v>0</v>
      </c>
    </row>
    <row r="41" spans="1:11" s="5" customFormat="1" ht="15.75" customHeight="1">
      <c r="A41" s="13">
        <f t="shared" si="1"/>
        <v>37</v>
      </c>
      <c r="B41" s="17" t="s">
        <v>22</v>
      </c>
      <c r="C41" s="15">
        <v>8</v>
      </c>
      <c r="D41" s="16">
        <f t="shared" si="0"/>
        <v>165</v>
      </c>
      <c r="E41" s="13">
        <f>157+4+4</f>
        <v>165</v>
      </c>
      <c r="F41" s="13">
        <v>104.4</v>
      </c>
      <c r="G41" s="13"/>
      <c r="H41" s="13"/>
      <c r="I41" s="13"/>
      <c r="J41" s="13"/>
      <c r="K41" s="13"/>
    </row>
    <row r="42" spans="1:11" s="5" customFormat="1" ht="15.75" customHeight="1">
      <c r="A42" s="13">
        <f t="shared" si="1"/>
        <v>38</v>
      </c>
      <c r="B42" s="17" t="s">
        <v>24</v>
      </c>
      <c r="C42" s="15">
        <v>18</v>
      </c>
      <c r="D42" s="16">
        <f t="shared" si="0"/>
        <v>249.3</v>
      </c>
      <c r="E42" s="18">
        <v>126.1</v>
      </c>
      <c r="F42" s="18">
        <v>93.8</v>
      </c>
      <c r="G42" s="18"/>
      <c r="H42" s="18"/>
      <c r="I42" s="18"/>
      <c r="J42" s="13">
        <v>17.5</v>
      </c>
      <c r="K42" s="13">
        <v>105.7</v>
      </c>
    </row>
    <row r="43" spans="1:11" s="5" customFormat="1" ht="15.75" customHeight="1">
      <c r="A43" s="13">
        <f t="shared" si="1"/>
        <v>39</v>
      </c>
      <c r="B43" s="17" t="s">
        <v>24</v>
      </c>
      <c r="C43" s="19">
        <v>36</v>
      </c>
      <c r="D43" s="16">
        <f t="shared" si="0"/>
        <v>7410.1</v>
      </c>
      <c r="E43" s="18">
        <f>4929.1-68.9+71.4</f>
        <v>4931.6</v>
      </c>
      <c r="F43" s="18">
        <f>2842.9-44+42.5</f>
        <v>2841.4</v>
      </c>
      <c r="G43" s="18">
        <f>1906.8-236.6</f>
        <v>1670.2</v>
      </c>
      <c r="H43" s="18">
        <v>1322.6</v>
      </c>
      <c r="I43" s="18">
        <v>515.3</v>
      </c>
      <c r="J43" s="13">
        <f>57.1-17</f>
        <v>40.1</v>
      </c>
      <c r="K43" s="13">
        <v>768.2</v>
      </c>
    </row>
    <row r="44" spans="1:11" s="5" customFormat="1" ht="15.75" customHeight="1">
      <c r="A44" s="13">
        <f t="shared" si="1"/>
        <v>40</v>
      </c>
      <c r="B44" s="17" t="s">
        <v>24</v>
      </c>
      <c r="C44" s="19">
        <v>38</v>
      </c>
      <c r="D44" s="16">
        <f t="shared" si="0"/>
        <v>2967.8999999999996</v>
      </c>
      <c r="E44" s="18">
        <f>1719.7+6.5</f>
        <v>1726.2</v>
      </c>
      <c r="F44" s="18">
        <f>1130.8-30.7</f>
        <v>1100.1</v>
      </c>
      <c r="G44" s="16">
        <f>261.4+887.1+42</f>
        <v>1190.5</v>
      </c>
      <c r="H44" s="16">
        <f>1021.1-759.7</f>
        <v>261.4</v>
      </c>
      <c r="I44" s="18"/>
      <c r="J44" s="13">
        <f>96.8-45.6</f>
        <v>51.199999999999996</v>
      </c>
      <c r="K44" s="13"/>
    </row>
    <row r="45" spans="1:11" s="5" customFormat="1" ht="15.75" customHeight="1">
      <c r="A45" s="13">
        <f t="shared" si="1"/>
        <v>41</v>
      </c>
      <c r="B45" s="17" t="s">
        <v>24</v>
      </c>
      <c r="C45" s="15">
        <v>45</v>
      </c>
      <c r="D45" s="16">
        <f t="shared" si="0"/>
        <v>3714.7000000000003</v>
      </c>
      <c r="E45" s="18">
        <f>3419.4+9.1+3.8</f>
        <v>3432.3</v>
      </c>
      <c r="F45" s="18">
        <f>2076.3-63.6</f>
        <v>2012.7000000000003</v>
      </c>
      <c r="G45" s="18">
        <f>129+6.5</f>
        <v>135.5</v>
      </c>
      <c r="H45" s="18"/>
      <c r="I45" s="18"/>
      <c r="J45" s="13">
        <v>146.9</v>
      </c>
      <c r="K45" s="13"/>
    </row>
    <row r="46" spans="1:11" s="5" customFormat="1" ht="15.75" customHeight="1">
      <c r="A46" s="13">
        <f t="shared" si="1"/>
        <v>42</v>
      </c>
      <c r="B46" s="17" t="s">
        <v>24</v>
      </c>
      <c r="C46" s="19">
        <v>47</v>
      </c>
      <c r="D46" s="16">
        <f t="shared" si="0"/>
        <v>1749.1999999999998</v>
      </c>
      <c r="E46" s="18">
        <f>1250.7+6.5</f>
        <v>1257.2</v>
      </c>
      <c r="F46" s="18">
        <v>742.5</v>
      </c>
      <c r="G46" s="16">
        <f>307.9+136.7-8.7</f>
        <v>435.9</v>
      </c>
      <c r="H46" s="18">
        <v>307.9</v>
      </c>
      <c r="I46" s="18"/>
      <c r="J46" s="13">
        <f>64.1-8</f>
        <v>56.099999999999994</v>
      </c>
      <c r="K46" s="13"/>
    </row>
    <row r="47" spans="1:11" s="5" customFormat="1" ht="15.75" customHeight="1">
      <c r="A47" s="13">
        <f t="shared" si="1"/>
        <v>43</v>
      </c>
      <c r="B47" s="17" t="s">
        <v>24</v>
      </c>
      <c r="C47" s="15">
        <v>65</v>
      </c>
      <c r="D47" s="16">
        <f t="shared" si="0"/>
        <v>11828.599999999999</v>
      </c>
      <c r="E47" s="16">
        <f>10452.8+69.5+27.8</f>
        <v>10550.099999999999</v>
      </c>
      <c r="F47" s="18">
        <v>8635.1</v>
      </c>
      <c r="G47" s="18">
        <f>760.3</f>
        <v>760.3</v>
      </c>
      <c r="H47" s="18">
        <v>760.3</v>
      </c>
      <c r="I47" s="18"/>
      <c r="J47" s="13">
        <f>226.3-27.8</f>
        <v>198.5</v>
      </c>
      <c r="K47" s="13">
        <v>319.7</v>
      </c>
    </row>
    <row r="48" spans="1:11" s="5" customFormat="1" ht="15.75" customHeight="1">
      <c r="A48" s="13">
        <f t="shared" si="1"/>
        <v>44</v>
      </c>
      <c r="B48" s="17" t="s">
        <v>24</v>
      </c>
      <c r="C48" s="15">
        <v>67</v>
      </c>
      <c r="D48" s="16">
        <f t="shared" si="0"/>
        <v>3514.3999999999996</v>
      </c>
      <c r="E48" s="13">
        <f>3058.8-423.3-8.3-3.1</f>
        <v>2624.1</v>
      </c>
      <c r="F48" s="13">
        <f>1718.3-134.9</f>
        <v>1583.3999999999999</v>
      </c>
      <c r="G48" s="13">
        <v>778.3</v>
      </c>
      <c r="H48" s="13"/>
      <c r="I48" s="13"/>
      <c r="J48" s="13">
        <f>113-1</f>
        <v>112</v>
      </c>
      <c r="K48" s="13"/>
    </row>
    <row r="49" spans="1:11" s="5" customFormat="1" ht="15.75" customHeight="1">
      <c r="A49" s="13">
        <f t="shared" si="1"/>
        <v>45</v>
      </c>
      <c r="B49" s="17" t="s">
        <v>25</v>
      </c>
      <c r="C49" s="19">
        <v>60</v>
      </c>
      <c r="D49" s="16">
        <f t="shared" si="0"/>
        <v>671</v>
      </c>
      <c r="E49" s="18">
        <v>671</v>
      </c>
      <c r="F49" s="18">
        <v>440</v>
      </c>
      <c r="G49" s="18"/>
      <c r="H49" s="18"/>
      <c r="I49" s="18"/>
      <c r="J49" s="13">
        <v>0</v>
      </c>
      <c r="K49" s="13">
        <v>0</v>
      </c>
    </row>
    <row r="50" spans="1:11" s="5" customFormat="1" ht="15.75" customHeight="1">
      <c r="A50" s="13">
        <f t="shared" si="1"/>
        <v>46</v>
      </c>
      <c r="B50" s="17" t="s">
        <v>26</v>
      </c>
      <c r="C50" s="19">
        <v>28</v>
      </c>
      <c r="D50" s="16">
        <f t="shared" si="0"/>
        <v>3739.6</v>
      </c>
      <c r="E50" s="18">
        <f>3144.9-426.2-62.7-1.3-0.4</f>
        <v>2654.3</v>
      </c>
      <c r="F50" s="18">
        <f>2138-310.5-29.1</f>
        <v>1798.4</v>
      </c>
      <c r="G50" s="18">
        <f>426.2+493.8+62.7</f>
        <v>982.7</v>
      </c>
      <c r="H50" s="18"/>
      <c r="I50" s="18"/>
      <c r="J50" s="13">
        <f>279.7-177.1</f>
        <v>102.6</v>
      </c>
      <c r="K50" s="13"/>
    </row>
    <row r="51" spans="1:11" s="5" customFormat="1" ht="15.75" customHeight="1">
      <c r="A51" s="13">
        <f t="shared" si="1"/>
        <v>47</v>
      </c>
      <c r="B51" s="17" t="s">
        <v>26</v>
      </c>
      <c r="C51" s="19">
        <v>31</v>
      </c>
      <c r="D51" s="16">
        <f t="shared" si="0"/>
        <v>4983.7</v>
      </c>
      <c r="E51" s="18">
        <f>3553.7-5.8-3.1</f>
        <v>3544.7999999999997</v>
      </c>
      <c r="F51" s="18">
        <v>2282.6</v>
      </c>
      <c r="G51" s="13">
        <f>152.1+713.8+376.7</f>
        <v>1242.6</v>
      </c>
      <c r="H51" s="16">
        <f>738.7-586.6</f>
        <v>152.10000000000002</v>
      </c>
      <c r="I51" s="18"/>
      <c r="J51" s="13">
        <f>402.4-206.1</f>
        <v>196.29999999999998</v>
      </c>
      <c r="K51" s="13"/>
    </row>
    <row r="52" spans="1:11" s="5" customFormat="1" ht="15.75" customHeight="1">
      <c r="A52" s="13">
        <f t="shared" si="1"/>
        <v>48</v>
      </c>
      <c r="B52" s="17" t="s">
        <v>26</v>
      </c>
      <c r="C52" s="19">
        <v>34</v>
      </c>
      <c r="D52" s="16">
        <f t="shared" si="0"/>
        <v>8910.800000000001</v>
      </c>
      <c r="E52" s="18">
        <v>4948</v>
      </c>
      <c r="F52" s="18">
        <v>2920</v>
      </c>
      <c r="G52" s="18">
        <f>3105.4+179.8</f>
        <v>3285.2000000000003</v>
      </c>
      <c r="H52" s="18">
        <v>3105.4</v>
      </c>
      <c r="I52" s="18"/>
      <c r="J52" s="13">
        <f>710.6-33</f>
        <v>677.6</v>
      </c>
      <c r="K52" s="13">
        <v>0</v>
      </c>
    </row>
    <row r="53" spans="1:11" s="5" customFormat="1" ht="15.75" customHeight="1">
      <c r="A53" s="13">
        <f t="shared" si="1"/>
        <v>49</v>
      </c>
      <c r="B53" s="17" t="s">
        <v>26</v>
      </c>
      <c r="C53" s="15">
        <v>36</v>
      </c>
      <c r="D53" s="16">
        <f t="shared" si="0"/>
        <v>15503.1</v>
      </c>
      <c r="E53" s="23">
        <f>11354.2-64.5+216.4-64.5-85.9+28.9+3.4</f>
        <v>11388</v>
      </c>
      <c r="F53" s="18">
        <f>8150.8-42.6-29.3-42.6-58.7+15.8</f>
        <v>7993.4</v>
      </c>
      <c r="G53" s="18">
        <f>1756.6+1703.7+284.9+64.5+85.9</f>
        <v>3895.6000000000004</v>
      </c>
      <c r="H53" s="18">
        <v>1692.1</v>
      </c>
      <c r="I53" s="18"/>
      <c r="J53" s="13">
        <f>371.7-112.8-39.4</f>
        <v>219.49999999999997</v>
      </c>
      <c r="K53" s="21"/>
    </row>
    <row r="54" spans="1:11" s="5" customFormat="1" ht="15.75" customHeight="1">
      <c r="A54" s="13">
        <f t="shared" si="1"/>
        <v>50</v>
      </c>
      <c r="B54" s="17" t="s">
        <v>27</v>
      </c>
      <c r="C54" s="15">
        <v>7</v>
      </c>
      <c r="D54" s="18">
        <f t="shared" si="0"/>
        <v>3959.3999999999996</v>
      </c>
      <c r="E54" s="18">
        <v>3373.5</v>
      </c>
      <c r="F54" s="18">
        <v>2231.9</v>
      </c>
      <c r="G54" s="18">
        <v>516.7</v>
      </c>
      <c r="H54" s="18"/>
      <c r="I54" s="18"/>
      <c r="J54" s="13">
        <f>69.2+46.2-46.2</f>
        <v>69.2</v>
      </c>
      <c r="K54" s="13">
        <v>0</v>
      </c>
    </row>
    <row r="55" spans="1:11" s="5" customFormat="1" ht="15.75" customHeight="1">
      <c r="A55" s="13">
        <f t="shared" si="1"/>
        <v>51</v>
      </c>
      <c r="B55" s="17" t="s">
        <v>27</v>
      </c>
      <c r="C55" s="15">
        <v>9</v>
      </c>
      <c r="D55" s="18">
        <f t="shared" si="0"/>
        <v>3866.7</v>
      </c>
      <c r="E55" s="18">
        <v>3360.6</v>
      </c>
      <c r="F55" s="18">
        <v>2258.8</v>
      </c>
      <c r="G55" s="18">
        <v>442.4</v>
      </c>
      <c r="H55" s="18"/>
      <c r="I55" s="18"/>
      <c r="J55" s="13">
        <v>63.7</v>
      </c>
      <c r="K55" s="13">
        <v>0</v>
      </c>
    </row>
    <row r="56" spans="1:11" s="5" customFormat="1" ht="15.75" customHeight="1">
      <c r="A56" s="13">
        <f t="shared" si="1"/>
        <v>52</v>
      </c>
      <c r="B56" s="17" t="s">
        <v>27</v>
      </c>
      <c r="C56" s="19">
        <v>10</v>
      </c>
      <c r="D56" s="18">
        <f t="shared" si="0"/>
        <v>3860.6000000000004</v>
      </c>
      <c r="E56" s="18">
        <f>3774.4+2.8</f>
        <v>3777.2000000000003</v>
      </c>
      <c r="F56" s="18">
        <v>2332.3</v>
      </c>
      <c r="G56" s="18"/>
      <c r="H56" s="13"/>
      <c r="I56" s="13"/>
      <c r="J56" s="13">
        <v>83.4</v>
      </c>
      <c r="K56" s="13">
        <v>0</v>
      </c>
    </row>
    <row r="57" spans="1:11" s="5" customFormat="1" ht="15.75" customHeight="1">
      <c r="A57" s="13">
        <f t="shared" si="1"/>
        <v>53</v>
      </c>
      <c r="B57" s="17" t="s">
        <v>27</v>
      </c>
      <c r="C57" s="19">
        <v>15</v>
      </c>
      <c r="D57" s="18">
        <f t="shared" si="0"/>
        <v>4095.3</v>
      </c>
      <c r="E57" s="18">
        <f>3443.9-31.7</f>
        <v>3412.2000000000003</v>
      </c>
      <c r="F57" s="18">
        <v>2171.1</v>
      </c>
      <c r="G57" s="18"/>
      <c r="H57" s="13"/>
      <c r="I57" s="13"/>
      <c r="J57" s="13">
        <v>683.1</v>
      </c>
      <c r="K57" s="13"/>
    </row>
    <row r="58" spans="1:11" s="5" customFormat="1" ht="15.75" customHeight="1">
      <c r="A58" s="13">
        <f t="shared" si="1"/>
        <v>54</v>
      </c>
      <c r="B58" s="17" t="s">
        <v>27</v>
      </c>
      <c r="C58" s="15">
        <v>28</v>
      </c>
      <c r="D58" s="18">
        <f t="shared" si="0"/>
        <v>3619.0000000000005</v>
      </c>
      <c r="E58" s="13">
        <f>3200.6-43.7</f>
        <v>3156.9</v>
      </c>
      <c r="F58" s="13">
        <f>2067-27.4</f>
        <v>2039.6</v>
      </c>
      <c r="G58" s="13">
        <f>43.7+381.6</f>
        <v>425.3</v>
      </c>
      <c r="H58" s="13"/>
      <c r="I58" s="13"/>
      <c r="J58" s="13">
        <f>146.9-110.1</f>
        <v>36.80000000000001</v>
      </c>
      <c r="K58" s="13"/>
    </row>
    <row r="59" spans="1:11" s="5" customFormat="1" ht="15.75" customHeight="1">
      <c r="A59" s="13">
        <f t="shared" si="1"/>
        <v>55</v>
      </c>
      <c r="B59" s="17" t="s">
        <v>27</v>
      </c>
      <c r="C59" s="15">
        <v>30</v>
      </c>
      <c r="D59" s="18">
        <f t="shared" si="0"/>
        <v>3759.1</v>
      </c>
      <c r="E59" s="18">
        <v>2551.8</v>
      </c>
      <c r="F59" s="18">
        <f>1669.7-10</f>
        <v>1659.7</v>
      </c>
      <c r="G59" s="18">
        <f>414+933.6-202</f>
        <v>1145.6</v>
      </c>
      <c r="H59" s="18">
        <v>414</v>
      </c>
      <c r="I59" s="18"/>
      <c r="J59" s="13">
        <v>61.7</v>
      </c>
      <c r="K59" s="13"/>
    </row>
    <row r="60" spans="1:11" s="5" customFormat="1" ht="15.75" customHeight="1">
      <c r="A60" s="13">
        <f t="shared" si="1"/>
        <v>56</v>
      </c>
      <c r="B60" s="17" t="s">
        <v>27</v>
      </c>
      <c r="C60" s="19">
        <v>32</v>
      </c>
      <c r="D60" s="18">
        <f t="shared" si="0"/>
        <v>7727.5</v>
      </c>
      <c r="E60" s="18">
        <f>5262.5-35.3+0.2</f>
        <v>5227.4</v>
      </c>
      <c r="F60" s="18">
        <f>3085.6-18+0.4</f>
        <v>3068</v>
      </c>
      <c r="G60" s="13">
        <f>127.3+2194.4+35.3-40</f>
        <v>2317.0000000000005</v>
      </c>
      <c r="H60" s="13">
        <v>127.3</v>
      </c>
      <c r="I60" s="13"/>
      <c r="J60" s="13">
        <v>183.1</v>
      </c>
      <c r="K60" s="13">
        <v>0</v>
      </c>
    </row>
    <row r="61" spans="1:11" s="5" customFormat="1" ht="15.75" customHeight="1">
      <c r="A61" s="13">
        <f t="shared" si="1"/>
        <v>57</v>
      </c>
      <c r="B61" s="17" t="s">
        <v>27</v>
      </c>
      <c r="C61" s="19">
        <v>50</v>
      </c>
      <c r="D61" s="18">
        <f t="shared" si="0"/>
        <v>3830.7</v>
      </c>
      <c r="E61" s="18">
        <f>3180.7-31.4+11.7-13.7+153.6-45.2</f>
        <v>3255.7</v>
      </c>
      <c r="F61" s="18">
        <f>2067.1-19.6+2.2+153.6-29.3</f>
        <v>2173.9999999999995</v>
      </c>
      <c r="G61" s="13">
        <f>59.1+24.1+45.2</f>
        <v>128.4</v>
      </c>
      <c r="H61" s="13"/>
      <c r="I61" s="13">
        <v>27.7</v>
      </c>
      <c r="J61" s="13">
        <f>97.3+1.8</f>
        <v>99.1</v>
      </c>
      <c r="K61" s="13">
        <v>347.5</v>
      </c>
    </row>
    <row r="62" spans="1:11" s="5" customFormat="1" ht="15.75" customHeight="1">
      <c r="A62" s="13">
        <f t="shared" si="1"/>
        <v>58</v>
      </c>
      <c r="B62" s="17" t="s">
        <v>27</v>
      </c>
      <c r="C62" s="19">
        <v>52</v>
      </c>
      <c r="D62" s="18">
        <f t="shared" si="0"/>
        <v>3645.6000000000004</v>
      </c>
      <c r="E62" s="18">
        <f>3168-39.4-31.7+101.8</f>
        <v>3198.7000000000003</v>
      </c>
      <c r="F62" s="18">
        <f>2037.3-23.4-18.3+101.8</f>
        <v>2097.4</v>
      </c>
      <c r="G62" s="13">
        <f>251.5+39.4+31.7+70.8</f>
        <v>393.4</v>
      </c>
      <c r="H62" s="13">
        <v>251.5</v>
      </c>
      <c r="I62" s="13"/>
      <c r="J62" s="13">
        <v>53.5</v>
      </c>
      <c r="K62" s="13">
        <v>0</v>
      </c>
    </row>
    <row r="63" spans="1:11" s="5" customFormat="1" ht="15.75" customHeight="1">
      <c r="A63" s="13">
        <f t="shared" si="1"/>
        <v>59</v>
      </c>
      <c r="B63" s="17" t="s">
        <v>27</v>
      </c>
      <c r="C63" s="15" t="s">
        <v>28</v>
      </c>
      <c r="D63" s="18">
        <f t="shared" si="0"/>
        <v>3111.8</v>
      </c>
      <c r="E63" s="18">
        <v>2835.4</v>
      </c>
      <c r="F63" s="18">
        <v>2835.4</v>
      </c>
      <c r="G63" s="18"/>
      <c r="H63" s="18"/>
      <c r="I63" s="18"/>
      <c r="J63" s="13">
        <f>54.5+221.9</f>
        <v>276.4</v>
      </c>
      <c r="K63" s="13">
        <v>0</v>
      </c>
    </row>
    <row r="64" spans="1:11" s="5" customFormat="1" ht="15.75" customHeight="1">
      <c r="A64" s="13">
        <f t="shared" si="1"/>
        <v>60</v>
      </c>
      <c r="B64" s="17" t="s">
        <v>29</v>
      </c>
      <c r="C64" s="19">
        <v>13</v>
      </c>
      <c r="D64" s="18">
        <f t="shared" si="0"/>
        <v>2551.1</v>
      </c>
      <c r="E64" s="18">
        <v>2065</v>
      </c>
      <c r="F64" s="18">
        <v>1216</v>
      </c>
      <c r="G64" s="13">
        <v>417.5</v>
      </c>
      <c r="H64" s="13">
        <v>210</v>
      </c>
      <c r="I64" s="13">
        <v>207.5</v>
      </c>
      <c r="J64" s="18">
        <v>68.6</v>
      </c>
      <c r="K64" s="18">
        <v>0</v>
      </c>
    </row>
    <row r="65" spans="1:11" s="5" customFormat="1" ht="15.75" customHeight="1">
      <c r="A65" s="13">
        <f t="shared" si="1"/>
        <v>61</v>
      </c>
      <c r="B65" s="17" t="s">
        <v>29</v>
      </c>
      <c r="C65" s="19">
        <v>24</v>
      </c>
      <c r="D65" s="18">
        <f t="shared" si="0"/>
        <v>3508.4</v>
      </c>
      <c r="E65" s="18">
        <v>3149</v>
      </c>
      <c r="F65" s="18">
        <v>2102.7</v>
      </c>
      <c r="G65" s="13">
        <v>313</v>
      </c>
      <c r="H65" s="18">
        <v>313</v>
      </c>
      <c r="I65" s="18"/>
      <c r="J65" s="13">
        <v>46.4</v>
      </c>
      <c r="K65" s="13">
        <v>0</v>
      </c>
    </row>
    <row r="66" spans="1:11" s="5" customFormat="1" ht="15.75" customHeight="1">
      <c r="A66" s="13">
        <f t="shared" si="1"/>
        <v>62</v>
      </c>
      <c r="B66" s="17" t="s">
        <v>29</v>
      </c>
      <c r="C66" s="19">
        <v>28</v>
      </c>
      <c r="D66" s="18">
        <f t="shared" si="0"/>
        <v>3609.2</v>
      </c>
      <c r="E66" s="18">
        <v>3219</v>
      </c>
      <c r="F66" s="18">
        <v>2081</v>
      </c>
      <c r="G66" s="13">
        <v>5.3</v>
      </c>
      <c r="H66" s="13">
        <v>5.3</v>
      </c>
      <c r="I66" s="13"/>
      <c r="J66" s="13">
        <v>30.7</v>
      </c>
      <c r="K66" s="13">
        <v>354.2</v>
      </c>
    </row>
    <row r="67" spans="1:11" s="5" customFormat="1" ht="15.75" customHeight="1">
      <c r="A67" s="13">
        <f t="shared" si="1"/>
        <v>63</v>
      </c>
      <c r="B67" s="17" t="s">
        <v>29</v>
      </c>
      <c r="C67" s="19">
        <v>32</v>
      </c>
      <c r="D67" s="18">
        <f t="shared" si="0"/>
        <v>3609.4</v>
      </c>
      <c r="E67" s="18">
        <f>3563.5+46.6-0.7</f>
        <v>3609.4</v>
      </c>
      <c r="F67" s="18">
        <f>2366.2+30.9</f>
        <v>2397.1</v>
      </c>
      <c r="G67" s="13">
        <f>46.6-46.6</f>
        <v>0</v>
      </c>
      <c r="H67" s="13">
        <f>46.6-46.6</f>
        <v>0</v>
      </c>
      <c r="I67" s="13"/>
      <c r="J67" s="13">
        <v>0</v>
      </c>
      <c r="K67" s="13">
        <v>0</v>
      </c>
    </row>
    <row r="68" spans="1:11" s="5" customFormat="1" ht="15.75" customHeight="1">
      <c r="A68" s="13">
        <f t="shared" si="1"/>
        <v>64</v>
      </c>
      <c r="B68" s="17" t="s">
        <v>29</v>
      </c>
      <c r="C68" s="19">
        <v>48</v>
      </c>
      <c r="D68" s="18">
        <f t="shared" si="0"/>
        <v>2345.1000000000004</v>
      </c>
      <c r="E68" s="18">
        <v>1756</v>
      </c>
      <c r="F68" s="18">
        <v>1144.5</v>
      </c>
      <c r="G68" s="13">
        <v>394.3</v>
      </c>
      <c r="H68" s="13">
        <v>394.3</v>
      </c>
      <c r="I68" s="13"/>
      <c r="J68" s="13">
        <v>57</v>
      </c>
      <c r="K68" s="13">
        <v>137.8</v>
      </c>
    </row>
    <row r="69" spans="1:11" s="5" customFormat="1" ht="15.75" customHeight="1">
      <c r="A69" s="13">
        <f t="shared" si="1"/>
        <v>65</v>
      </c>
      <c r="B69" s="17" t="s">
        <v>29</v>
      </c>
      <c r="C69" s="19" t="s">
        <v>30</v>
      </c>
      <c r="D69" s="18">
        <f aca="true" t="shared" si="2" ref="D69:D118">SUM(E69+G69+J69+K69)</f>
        <v>3951.9</v>
      </c>
      <c r="E69" s="18">
        <v>3879</v>
      </c>
      <c r="F69" s="18">
        <v>2725.8</v>
      </c>
      <c r="G69" s="13"/>
      <c r="H69" s="13"/>
      <c r="I69" s="13"/>
      <c r="J69" s="13">
        <v>72.9</v>
      </c>
      <c r="K69" s="13">
        <v>0</v>
      </c>
    </row>
    <row r="70" spans="1:11" s="5" customFormat="1" ht="15.75" customHeight="1">
      <c r="A70" s="13">
        <f aca="true" t="shared" si="3" ref="A70:A133">A69+1</f>
        <v>66</v>
      </c>
      <c r="B70" s="17" t="s">
        <v>9</v>
      </c>
      <c r="C70" s="19">
        <v>80</v>
      </c>
      <c r="D70" s="18">
        <f t="shared" si="2"/>
        <v>8641.5</v>
      </c>
      <c r="E70" s="18">
        <f>8491.2-34.4-72.7+20.4</f>
        <v>8404.5</v>
      </c>
      <c r="F70" s="18">
        <f>4975-17.8-49.4</f>
        <v>4907.8</v>
      </c>
      <c r="G70" s="13">
        <f>34.4+72.7</f>
        <v>107.1</v>
      </c>
      <c r="H70" s="13"/>
      <c r="I70" s="13"/>
      <c r="J70" s="13">
        <f>148.3-18.4</f>
        <v>129.9</v>
      </c>
      <c r="K70" s="13">
        <v>0</v>
      </c>
    </row>
    <row r="71" spans="1:11" s="5" customFormat="1" ht="15.75" customHeight="1">
      <c r="A71" s="13">
        <f t="shared" si="3"/>
        <v>67</v>
      </c>
      <c r="B71" s="17" t="s">
        <v>9</v>
      </c>
      <c r="C71" s="19">
        <v>86</v>
      </c>
      <c r="D71" s="18">
        <f t="shared" si="2"/>
        <v>1280.4</v>
      </c>
      <c r="E71" s="18">
        <f>1246.2-75-31.6</f>
        <v>1139.6000000000001</v>
      </c>
      <c r="F71" s="18">
        <f>822.8-45.5-16.7</f>
        <v>760.5999999999999</v>
      </c>
      <c r="G71" s="13">
        <f>68.2+41+31.6</f>
        <v>140.8</v>
      </c>
      <c r="H71" s="13"/>
      <c r="I71" s="13"/>
      <c r="J71" s="13">
        <v>0</v>
      </c>
      <c r="K71" s="13"/>
    </row>
    <row r="72" spans="1:11" s="5" customFormat="1" ht="15.75" customHeight="1">
      <c r="A72" s="13">
        <f t="shared" si="3"/>
        <v>68</v>
      </c>
      <c r="B72" s="17" t="s">
        <v>9</v>
      </c>
      <c r="C72" s="15">
        <v>86</v>
      </c>
      <c r="D72" s="18">
        <f t="shared" si="2"/>
        <v>1560.5</v>
      </c>
      <c r="E72" s="13">
        <v>1282.9</v>
      </c>
      <c r="F72" s="13">
        <v>849.6</v>
      </c>
      <c r="G72" s="13"/>
      <c r="H72" s="13"/>
      <c r="I72" s="13"/>
      <c r="J72" s="13">
        <f>16.8+260.8</f>
        <v>277.6</v>
      </c>
      <c r="K72" s="13"/>
    </row>
    <row r="73" spans="1:11" s="5" customFormat="1" ht="15.75" customHeight="1">
      <c r="A73" s="13">
        <f t="shared" si="3"/>
        <v>69</v>
      </c>
      <c r="B73" s="17" t="s">
        <v>9</v>
      </c>
      <c r="C73" s="19">
        <v>88</v>
      </c>
      <c r="D73" s="18">
        <f t="shared" si="2"/>
        <v>2859.5</v>
      </c>
      <c r="E73" s="18">
        <f>2335.7-29-0.1</f>
        <v>2306.6</v>
      </c>
      <c r="F73" s="18">
        <f>1483.1-26</f>
        <v>1457.1</v>
      </c>
      <c r="G73" s="13">
        <f>421.6+29.1+41.2</f>
        <v>491.90000000000003</v>
      </c>
      <c r="H73" s="13">
        <v>421.6</v>
      </c>
      <c r="I73" s="13"/>
      <c r="J73" s="13">
        <f>61+29-29</f>
        <v>61</v>
      </c>
      <c r="K73" s="13"/>
    </row>
    <row r="74" spans="1:11" s="5" customFormat="1" ht="15.75" customHeight="1">
      <c r="A74" s="13">
        <f t="shared" si="3"/>
        <v>70</v>
      </c>
      <c r="B74" s="17" t="s">
        <v>9</v>
      </c>
      <c r="C74" s="15">
        <v>115</v>
      </c>
      <c r="D74" s="18">
        <f t="shared" si="2"/>
        <v>3550.9</v>
      </c>
      <c r="E74" s="13">
        <f>2805.4+254</f>
        <v>3059.4</v>
      </c>
      <c r="F74" s="13">
        <f>2112.7-14.5</f>
        <v>2098.2</v>
      </c>
      <c r="G74" s="13">
        <v>448.5</v>
      </c>
      <c r="H74" s="13"/>
      <c r="I74" s="13"/>
      <c r="J74" s="13">
        <v>43</v>
      </c>
      <c r="K74" s="13"/>
    </row>
    <row r="75" spans="1:11" s="5" customFormat="1" ht="15.75" customHeight="1">
      <c r="A75" s="13">
        <f t="shared" si="3"/>
        <v>71</v>
      </c>
      <c r="B75" s="17" t="s">
        <v>9</v>
      </c>
      <c r="C75" s="19">
        <v>125</v>
      </c>
      <c r="D75" s="18">
        <f t="shared" si="2"/>
        <v>5516.7</v>
      </c>
      <c r="E75" s="18">
        <v>3612.7</v>
      </c>
      <c r="F75" s="18">
        <v>2450.8</v>
      </c>
      <c r="G75" s="13">
        <v>1843.5</v>
      </c>
      <c r="H75" s="18">
        <v>1843.5</v>
      </c>
      <c r="I75" s="18"/>
      <c r="J75" s="13">
        <v>60.5</v>
      </c>
      <c r="K75" s="13">
        <v>0</v>
      </c>
    </row>
    <row r="76" spans="1:11" s="5" customFormat="1" ht="15.75" customHeight="1">
      <c r="A76" s="13">
        <f t="shared" si="3"/>
        <v>72</v>
      </c>
      <c r="B76" s="17" t="s">
        <v>9</v>
      </c>
      <c r="C76" s="19">
        <v>127</v>
      </c>
      <c r="D76" s="18">
        <f t="shared" si="2"/>
        <v>4599.5</v>
      </c>
      <c r="E76" s="18">
        <f>4191.3-118.3-53.1-76.3-40.9+29.7</f>
        <v>3932.3999999999996</v>
      </c>
      <c r="F76" s="18">
        <f>2601.9-72-80.8</f>
        <v>2449.1</v>
      </c>
      <c r="G76" s="13">
        <f>398.1+53.1+76.3+40.9-35.1</f>
        <v>533.3</v>
      </c>
      <c r="H76" s="13">
        <v>279.8</v>
      </c>
      <c r="I76" s="13"/>
      <c r="J76" s="13">
        <f>144.3-10.5</f>
        <v>133.8</v>
      </c>
      <c r="K76" s="13">
        <v>0</v>
      </c>
    </row>
    <row r="77" spans="1:11" s="5" customFormat="1" ht="15.75" customHeight="1">
      <c r="A77" s="13">
        <f t="shared" si="3"/>
        <v>73</v>
      </c>
      <c r="B77" s="17" t="s">
        <v>9</v>
      </c>
      <c r="C77" s="19">
        <v>129</v>
      </c>
      <c r="D77" s="18">
        <f t="shared" si="2"/>
        <v>2080</v>
      </c>
      <c r="E77" s="18">
        <f>1603.5-64.3</f>
        <v>1539.2</v>
      </c>
      <c r="F77" s="18">
        <f>963.7-49</f>
        <v>914.7</v>
      </c>
      <c r="G77" s="13">
        <v>380</v>
      </c>
      <c r="H77" s="13">
        <v>262.4</v>
      </c>
      <c r="I77" s="13"/>
      <c r="J77" s="13">
        <f>9.3+151.5</f>
        <v>160.8</v>
      </c>
      <c r="K77" s="13">
        <v>0</v>
      </c>
    </row>
    <row r="78" spans="1:11" s="5" customFormat="1" ht="15.75" customHeight="1">
      <c r="A78" s="13">
        <f t="shared" si="3"/>
        <v>74</v>
      </c>
      <c r="B78" s="17" t="s">
        <v>9</v>
      </c>
      <c r="C78" s="19">
        <v>133</v>
      </c>
      <c r="D78" s="18">
        <f t="shared" si="2"/>
        <v>1580.4</v>
      </c>
      <c r="E78" s="18">
        <f>1256.8-2.8-61.3-39.2</f>
        <v>1153.5</v>
      </c>
      <c r="F78" s="18">
        <f>678.8-1.7-35-16.4</f>
        <v>625.6999999999999</v>
      </c>
      <c r="G78" s="13">
        <f>341.2-14.8+61.3+39.2</f>
        <v>426.9</v>
      </c>
      <c r="H78" s="13"/>
      <c r="I78" s="13"/>
      <c r="J78" s="13">
        <v>0</v>
      </c>
      <c r="K78" s="13">
        <v>0</v>
      </c>
    </row>
    <row r="79" spans="1:11" s="5" customFormat="1" ht="15.75" customHeight="1">
      <c r="A79" s="13">
        <f t="shared" si="3"/>
        <v>75</v>
      </c>
      <c r="B79" s="17" t="s">
        <v>9</v>
      </c>
      <c r="C79" s="19">
        <v>135</v>
      </c>
      <c r="D79" s="18">
        <f t="shared" si="2"/>
        <v>1263.5</v>
      </c>
      <c r="E79" s="18">
        <f>1188.4-31.4+1.3</f>
        <v>1158.3</v>
      </c>
      <c r="F79" s="18">
        <f>788.8-17.1+6.3</f>
        <v>777.9999999999999</v>
      </c>
      <c r="G79" s="13">
        <f>104.5+0.7</f>
        <v>105.2</v>
      </c>
      <c r="H79" s="13">
        <v>73.1</v>
      </c>
      <c r="I79" s="13"/>
      <c r="J79" s="13">
        <v>0</v>
      </c>
      <c r="K79" s="13">
        <v>0</v>
      </c>
    </row>
    <row r="80" spans="1:11" s="5" customFormat="1" ht="15.75" customHeight="1">
      <c r="A80" s="13">
        <f t="shared" si="3"/>
        <v>76</v>
      </c>
      <c r="B80" s="17" t="s">
        <v>9</v>
      </c>
      <c r="C80" s="15">
        <v>137</v>
      </c>
      <c r="D80" s="18">
        <f t="shared" si="2"/>
        <v>2681.4</v>
      </c>
      <c r="E80" s="13">
        <f>2180-172.6-51.5+1</f>
        <v>1956.9</v>
      </c>
      <c r="F80" s="13">
        <f>1376.9-105.8-29.1</f>
        <v>1242.0000000000002</v>
      </c>
      <c r="G80" s="13">
        <f>172.6+49+438.8</f>
        <v>660.4</v>
      </c>
      <c r="H80" s="13"/>
      <c r="I80" s="13"/>
      <c r="J80" s="13">
        <v>64.1</v>
      </c>
      <c r="K80" s="13"/>
    </row>
    <row r="81" spans="1:11" s="5" customFormat="1" ht="15.75" customHeight="1">
      <c r="A81" s="13">
        <f t="shared" si="3"/>
        <v>77</v>
      </c>
      <c r="B81" s="17" t="s">
        <v>9</v>
      </c>
      <c r="C81" s="19" t="s">
        <v>31</v>
      </c>
      <c r="D81" s="18">
        <f t="shared" si="2"/>
        <v>878.9</v>
      </c>
      <c r="E81" s="13">
        <f>704.2-3.5</f>
        <v>700.7</v>
      </c>
      <c r="F81" s="18">
        <f>447.3-3.3</f>
        <v>444</v>
      </c>
      <c r="G81" s="13">
        <v>120.4</v>
      </c>
      <c r="H81" s="13">
        <v>120.4</v>
      </c>
      <c r="I81" s="13"/>
      <c r="J81" s="18">
        <v>57.8</v>
      </c>
      <c r="K81" s="18"/>
    </row>
    <row r="82" spans="1:11" s="5" customFormat="1" ht="15.75" customHeight="1">
      <c r="A82" s="13">
        <f t="shared" si="3"/>
        <v>78</v>
      </c>
      <c r="B82" s="14" t="s">
        <v>12</v>
      </c>
      <c r="C82" s="15">
        <v>64</v>
      </c>
      <c r="D82" s="18">
        <f t="shared" si="2"/>
        <v>5564.9</v>
      </c>
      <c r="E82" s="13">
        <v>5246.4</v>
      </c>
      <c r="F82" s="13">
        <v>3084</v>
      </c>
      <c r="G82" s="13">
        <v>242</v>
      </c>
      <c r="H82" s="13"/>
      <c r="I82" s="13"/>
      <c r="J82" s="13">
        <f>168.9-92.4</f>
        <v>76.5</v>
      </c>
      <c r="K82" s="13"/>
    </row>
    <row r="83" spans="1:11" s="5" customFormat="1" ht="15.75" customHeight="1">
      <c r="A83" s="13">
        <f t="shared" si="3"/>
        <v>79</v>
      </c>
      <c r="B83" s="17" t="s">
        <v>12</v>
      </c>
      <c r="C83" s="19">
        <v>68</v>
      </c>
      <c r="D83" s="18">
        <f t="shared" si="2"/>
        <v>8541.6</v>
      </c>
      <c r="E83" s="18">
        <f>5340+0.7</f>
        <v>5340.7</v>
      </c>
      <c r="F83" s="18">
        <f>3162.9-4.2</f>
        <v>3158.7000000000003</v>
      </c>
      <c r="G83" s="13">
        <f>168.2+2958</f>
        <v>3126.2</v>
      </c>
      <c r="H83" s="13">
        <v>168.2</v>
      </c>
      <c r="I83" s="13"/>
      <c r="J83" s="13">
        <f>109.9-35.2</f>
        <v>74.7</v>
      </c>
      <c r="K83" s="13">
        <v>0</v>
      </c>
    </row>
    <row r="84" spans="1:11" s="5" customFormat="1" ht="15.75" customHeight="1">
      <c r="A84" s="13">
        <f t="shared" si="3"/>
        <v>80</v>
      </c>
      <c r="B84" s="14" t="s">
        <v>12</v>
      </c>
      <c r="C84" s="15">
        <v>71</v>
      </c>
      <c r="D84" s="18">
        <f t="shared" si="2"/>
        <v>16183.6</v>
      </c>
      <c r="E84" s="13">
        <f>12394.3-104.1-62.8</f>
        <v>12227.4</v>
      </c>
      <c r="F84" s="13">
        <f>7392.7-61.7-30.7</f>
        <v>7300.3</v>
      </c>
      <c r="G84" s="13">
        <f>104.1+1924.7+1666</f>
        <v>3694.8</v>
      </c>
      <c r="H84" s="13"/>
      <c r="I84" s="13"/>
      <c r="J84" s="13">
        <f>1988.3-1726.9</f>
        <v>261.39999999999986</v>
      </c>
      <c r="K84" s="13"/>
    </row>
    <row r="85" spans="1:11" s="5" customFormat="1" ht="15.75" customHeight="1">
      <c r="A85" s="13">
        <f t="shared" si="3"/>
        <v>81</v>
      </c>
      <c r="B85" s="17" t="s">
        <v>12</v>
      </c>
      <c r="C85" s="19">
        <v>73</v>
      </c>
      <c r="D85" s="18">
        <f t="shared" si="2"/>
        <v>9697.600000000002</v>
      </c>
      <c r="E85" s="18">
        <f>7496.1-201.2+16.1-55.4</f>
        <v>7255.600000000001</v>
      </c>
      <c r="F85" s="18">
        <f>4655.2-119.6-32.4</f>
        <v>4503.2</v>
      </c>
      <c r="G85" s="13">
        <f>800.2+558.6+685.7</f>
        <v>2044.5000000000002</v>
      </c>
      <c r="H85" s="13">
        <v>599</v>
      </c>
      <c r="I85" s="13"/>
      <c r="J85" s="13">
        <f>239.2+158.3</f>
        <v>397.5</v>
      </c>
      <c r="K85" s="13"/>
    </row>
    <row r="86" spans="1:11" s="5" customFormat="1" ht="15.75" customHeight="1">
      <c r="A86" s="13">
        <f t="shared" si="3"/>
        <v>82</v>
      </c>
      <c r="B86" s="17" t="s">
        <v>12</v>
      </c>
      <c r="C86" s="19">
        <v>74</v>
      </c>
      <c r="D86" s="18">
        <f t="shared" si="2"/>
        <v>5649.299999999999</v>
      </c>
      <c r="E86" s="18">
        <f>4181.1-84.3-26.1+2.1</f>
        <v>4072.8</v>
      </c>
      <c r="F86" s="18">
        <f>2569.5-61.3-13.4</f>
        <v>2494.7999999999997</v>
      </c>
      <c r="G86" s="13">
        <f>378.7+1058.1+105.8</f>
        <v>1542.6</v>
      </c>
      <c r="H86" s="18">
        <v>294.4</v>
      </c>
      <c r="I86" s="18"/>
      <c r="J86" s="18">
        <v>33.9</v>
      </c>
      <c r="K86" s="18"/>
    </row>
    <row r="87" spans="1:11" s="5" customFormat="1" ht="15.75" customHeight="1">
      <c r="A87" s="13">
        <f t="shared" si="3"/>
        <v>83</v>
      </c>
      <c r="B87" s="17" t="s">
        <v>12</v>
      </c>
      <c r="C87" s="19">
        <v>77</v>
      </c>
      <c r="D87" s="18">
        <f t="shared" si="2"/>
        <v>9842.5</v>
      </c>
      <c r="E87" s="18">
        <f>6890.5-107.8-75.6-73.6-183.4-3.4</f>
        <v>6446.7</v>
      </c>
      <c r="F87" s="18">
        <f>4335.7-62.5-52.4-50.4-101.5</f>
        <v>4068.9000000000005</v>
      </c>
      <c r="G87" s="13">
        <f>1378.3+566.5+1412.3</f>
        <v>3357.1</v>
      </c>
      <c r="H87" s="18">
        <v>987.1</v>
      </c>
      <c r="I87" s="18">
        <v>134.2</v>
      </c>
      <c r="J87" s="13">
        <f>143-104.3</f>
        <v>38.7</v>
      </c>
      <c r="K87" s="13"/>
    </row>
    <row r="88" spans="1:11" s="5" customFormat="1" ht="15.75" customHeight="1">
      <c r="A88" s="13">
        <f t="shared" si="3"/>
        <v>84</v>
      </c>
      <c r="B88" s="14" t="s">
        <v>12</v>
      </c>
      <c r="C88" s="15" t="s">
        <v>32</v>
      </c>
      <c r="D88" s="18">
        <f t="shared" si="2"/>
        <v>3791.3</v>
      </c>
      <c r="E88" s="13">
        <f>3727.9-30.3</f>
        <v>3697.6</v>
      </c>
      <c r="F88" s="13">
        <f>2246.4-16.6</f>
        <v>2229.8</v>
      </c>
      <c r="G88" s="13">
        <v>30.3</v>
      </c>
      <c r="H88" s="13"/>
      <c r="I88" s="13"/>
      <c r="J88" s="13">
        <v>63.4</v>
      </c>
      <c r="K88" s="13"/>
    </row>
    <row r="89" spans="1:11" s="5" customFormat="1" ht="15.75" customHeight="1">
      <c r="A89" s="13">
        <f t="shared" si="3"/>
        <v>85</v>
      </c>
      <c r="B89" s="17" t="s">
        <v>12</v>
      </c>
      <c r="C89" s="15" t="s">
        <v>33</v>
      </c>
      <c r="D89" s="18">
        <f t="shared" si="2"/>
        <v>3706</v>
      </c>
      <c r="E89" s="18">
        <v>3666.5</v>
      </c>
      <c r="F89" s="18">
        <v>1697</v>
      </c>
      <c r="G89" s="13"/>
      <c r="H89" s="13"/>
      <c r="I89" s="13"/>
      <c r="J89" s="13">
        <v>39.5</v>
      </c>
      <c r="K89" s="13"/>
    </row>
    <row r="90" spans="1:11" s="5" customFormat="1" ht="15.75" customHeight="1">
      <c r="A90" s="13">
        <f t="shared" si="3"/>
        <v>86</v>
      </c>
      <c r="B90" s="17" t="s">
        <v>12</v>
      </c>
      <c r="C90" s="19" t="s">
        <v>33</v>
      </c>
      <c r="D90" s="18">
        <f t="shared" si="2"/>
        <v>3706</v>
      </c>
      <c r="E90" s="18">
        <v>2747.4</v>
      </c>
      <c r="F90" s="18">
        <v>1697</v>
      </c>
      <c r="G90" s="13">
        <v>882.8</v>
      </c>
      <c r="H90" s="13"/>
      <c r="I90" s="13"/>
      <c r="J90" s="13">
        <v>75.8</v>
      </c>
      <c r="K90" s="13">
        <v>0</v>
      </c>
    </row>
    <row r="91" spans="1:11" s="5" customFormat="1" ht="15.75" customHeight="1">
      <c r="A91" s="13">
        <f t="shared" si="3"/>
        <v>87</v>
      </c>
      <c r="B91" s="17" t="s">
        <v>12</v>
      </c>
      <c r="C91" s="19" t="s">
        <v>34</v>
      </c>
      <c r="D91" s="18">
        <f t="shared" si="2"/>
        <v>5176.800000000001</v>
      </c>
      <c r="E91" s="18">
        <f>3934.4-35.7-52.1</f>
        <v>3846.6000000000004</v>
      </c>
      <c r="F91" s="18">
        <f>2389.9-18.1-38.1</f>
        <v>2333.7000000000003</v>
      </c>
      <c r="G91" s="13">
        <f>852.2+35.7+52.1</f>
        <v>940.0000000000001</v>
      </c>
      <c r="H91" s="18">
        <v>852.2</v>
      </c>
      <c r="I91" s="18"/>
      <c r="J91" s="13">
        <v>83.1</v>
      </c>
      <c r="K91" s="13">
        <v>307.1</v>
      </c>
    </row>
    <row r="92" spans="1:11" s="5" customFormat="1" ht="15.75" customHeight="1">
      <c r="A92" s="13">
        <f t="shared" si="3"/>
        <v>88</v>
      </c>
      <c r="B92" s="17" t="s">
        <v>12</v>
      </c>
      <c r="C92" s="19" t="s">
        <v>35</v>
      </c>
      <c r="D92" s="18">
        <f t="shared" si="2"/>
        <v>3673.7999999999997</v>
      </c>
      <c r="E92" s="18">
        <f>2599-0.3</f>
        <v>2598.7</v>
      </c>
      <c r="F92" s="18">
        <f>1707.3-3.7</f>
        <v>1703.6</v>
      </c>
      <c r="G92" s="13">
        <f>913.8+105+4.4</f>
        <v>1023.1999999999999</v>
      </c>
      <c r="H92" s="18">
        <v>913.8</v>
      </c>
      <c r="I92" s="18"/>
      <c r="J92" s="18">
        <f>54.2-2.3</f>
        <v>51.900000000000006</v>
      </c>
      <c r="K92" s="18">
        <f>105-105</f>
        <v>0</v>
      </c>
    </row>
    <row r="93" spans="1:11" s="5" customFormat="1" ht="15.75" customHeight="1">
      <c r="A93" s="13">
        <f t="shared" si="3"/>
        <v>89</v>
      </c>
      <c r="B93" s="17" t="s">
        <v>36</v>
      </c>
      <c r="C93" s="19">
        <v>36</v>
      </c>
      <c r="D93" s="18">
        <f t="shared" si="2"/>
        <v>2273</v>
      </c>
      <c r="E93" s="18">
        <f>1592.7+440.6</f>
        <v>2033.3000000000002</v>
      </c>
      <c r="F93" s="18">
        <f>1035+259.6</f>
        <v>1294.6</v>
      </c>
      <c r="G93" s="13">
        <v>193.6</v>
      </c>
      <c r="H93" s="13"/>
      <c r="I93" s="13"/>
      <c r="J93" s="13">
        <f>239.6-193.5</f>
        <v>46.099999999999994</v>
      </c>
      <c r="K93" s="13">
        <v>0</v>
      </c>
    </row>
    <row r="94" spans="1:11" s="5" customFormat="1" ht="15.75" customHeight="1">
      <c r="A94" s="13">
        <f t="shared" si="3"/>
        <v>90</v>
      </c>
      <c r="B94" s="17" t="s">
        <v>36</v>
      </c>
      <c r="C94" s="19">
        <v>38</v>
      </c>
      <c r="D94" s="18">
        <f t="shared" si="2"/>
        <v>3228</v>
      </c>
      <c r="E94" s="18">
        <f>2498.1-32.1</f>
        <v>2466</v>
      </c>
      <c r="F94" s="18">
        <f>1679-19.3</f>
        <v>1659.7</v>
      </c>
      <c r="G94" s="13">
        <f>331.2+213.2+157.4</f>
        <v>701.8</v>
      </c>
      <c r="H94" s="13">
        <v>299.1</v>
      </c>
      <c r="I94" s="13"/>
      <c r="J94" s="13">
        <v>60.2</v>
      </c>
      <c r="K94" s="13"/>
    </row>
    <row r="95" spans="1:11" s="5" customFormat="1" ht="15.75" customHeight="1">
      <c r="A95" s="13">
        <f t="shared" si="3"/>
        <v>91</v>
      </c>
      <c r="B95" s="17" t="s">
        <v>36</v>
      </c>
      <c r="C95" s="19">
        <v>42</v>
      </c>
      <c r="D95" s="18">
        <f t="shared" si="2"/>
        <v>3433.5000000000005</v>
      </c>
      <c r="E95" s="13">
        <f>3045.1-49-136.2-54.6-31.7-53.7-53.7-48.9-54.7</f>
        <v>2562.600000000001</v>
      </c>
      <c r="F95" s="13">
        <f>1841.2-28-84.9-32.9-17.9-32.6-32.2-28.9-33.2</f>
        <v>1550.5999999999997</v>
      </c>
      <c r="G95" s="13">
        <f>49+125.9+54.6+31.7+53.7+53.7+48.9+54.7</f>
        <v>472.19999999999993</v>
      </c>
      <c r="H95" s="13"/>
      <c r="I95" s="13"/>
      <c r="J95" s="13">
        <f>398.7</f>
        <v>398.7</v>
      </c>
      <c r="K95" s="13">
        <v>0</v>
      </c>
    </row>
    <row r="96" spans="1:11" s="5" customFormat="1" ht="15.75" customHeight="1">
      <c r="A96" s="13">
        <f t="shared" si="3"/>
        <v>92</v>
      </c>
      <c r="B96" s="17" t="s">
        <v>37</v>
      </c>
      <c r="C96" s="19">
        <v>46</v>
      </c>
      <c r="D96" s="18">
        <f t="shared" si="2"/>
        <v>3939.5</v>
      </c>
      <c r="E96" s="18">
        <f>2574.6-1.2</f>
        <v>2573.4</v>
      </c>
      <c r="F96" s="18">
        <f>1664.3-4.9</f>
        <v>1659.3999999999999</v>
      </c>
      <c r="G96" s="21">
        <f>49.3+1228.3+28.7</f>
        <v>1306.3</v>
      </c>
      <c r="H96" s="18">
        <f>506.4-457.1</f>
        <v>49.299999999999955</v>
      </c>
      <c r="I96" s="18"/>
      <c r="J96" s="23">
        <f>102.6-42.8</f>
        <v>59.8</v>
      </c>
      <c r="K96" s="23"/>
    </row>
    <row r="97" spans="1:11" s="5" customFormat="1" ht="15.75" customHeight="1">
      <c r="A97" s="13">
        <f t="shared" si="3"/>
        <v>93</v>
      </c>
      <c r="B97" s="17" t="s">
        <v>37</v>
      </c>
      <c r="C97" s="19">
        <v>50</v>
      </c>
      <c r="D97" s="18">
        <f t="shared" si="2"/>
        <v>4999.299999999999</v>
      </c>
      <c r="E97" s="18">
        <f>4395.1-57.3-39.7-38.8-40.8</f>
        <v>4218.5</v>
      </c>
      <c r="F97" s="18">
        <f>2929.1-40-16.5-26-25.1</f>
        <v>2821.5</v>
      </c>
      <c r="G97" s="13">
        <f>148.5+29.8+40.8+38.8</f>
        <v>257.90000000000003</v>
      </c>
      <c r="H97" s="13">
        <v>91.2</v>
      </c>
      <c r="I97" s="13"/>
      <c r="J97" s="18">
        <f>47.8-0.3</f>
        <v>47.5</v>
      </c>
      <c r="K97" s="18">
        <v>475.4</v>
      </c>
    </row>
    <row r="98" spans="1:11" s="5" customFormat="1" ht="15.75" customHeight="1">
      <c r="A98" s="13">
        <f t="shared" si="3"/>
        <v>94</v>
      </c>
      <c r="B98" s="17" t="s">
        <v>37</v>
      </c>
      <c r="C98" s="19">
        <v>52</v>
      </c>
      <c r="D98" s="18">
        <f t="shared" si="2"/>
        <v>3853.7999999999997</v>
      </c>
      <c r="E98" s="18">
        <f>3230.7-31.2</f>
        <v>3199.5</v>
      </c>
      <c r="F98" s="18">
        <f>2116.1-18.2</f>
        <v>2097.9</v>
      </c>
      <c r="G98" s="13">
        <f>408.5+246.1-52.4</f>
        <v>602.2</v>
      </c>
      <c r="H98" s="13">
        <v>377.3</v>
      </c>
      <c r="I98" s="13"/>
      <c r="J98" s="18">
        <v>52.1</v>
      </c>
      <c r="K98" s="18"/>
    </row>
    <row r="99" spans="1:11" s="5" customFormat="1" ht="15.75" customHeight="1">
      <c r="A99" s="13">
        <f t="shared" si="3"/>
        <v>95</v>
      </c>
      <c r="B99" s="17" t="s">
        <v>37</v>
      </c>
      <c r="C99" s="19">
        <v>54</v>
      </c>
      <c r="D99" s="18">
        <f t="shared" si="2"/>
        <v>2615.9</v>
      </c>
      <c r="E99" s="18">
        <f>2227.3-32.7</f>
        <v>2194.6000000000004</v>
      </c>
      <c r="F99" s="18">
        <f>1489.1-19.6+0.7</f>
        <v>1470.2</v>
      </c>
      <c r="G99" s="13">
        <f>290.5+32.7</f>
        <v>323.2</v>
      </c>
      <c r="H99" s="13">
        <v>290.5</v>
      </c>
      <c r="I99" s="13"/>
      <c r="J99" s="18">
        <v>98.1</v>
      </c>
      <c r="K99" s="18"/>
    </row>
    <row r="100" spans="1:11" s="5" customFormat="1" ht="15.75" customHeight="1">
      <c r="A100" s="13">
        <f t="shared" si="3"/>
        <v>96</v>
      </c>
      <c r="B100" s="17" t="s">
        <v>37</v>
      </c>
      <c r="C100" s="19">
        <v>58</v>
      </c>
      <c r="D100" s="18">
        <f t="shared" si="2"/>
        <v>3847</v>
      </c>
      <c r="E100" s="18">
        <f>3122.5-43.9-0.9</f>
        <v>3077.7</v>
      </c>
      <c r="F100" s="18">
        <f>2023.1-22.9</f>
        <v>2000.1999999999998</v>
      </c>
      <c r="G100" s="13">
        <f>557.2+13.4+142.2</f>
        <v>712.8</v>
      </c>
      <c r="H100" s="13">
        <v>513.3</v>
      </c>
      <c r="I100" s="13"/>
      <c r="J100" s="18">
        <v>56.5</v>
      </c>
      <c r="K100" s="18"/>
    </row>
    <row r="101" spans="1:11" s="5" customFormat="1" ht="15.75" customHeight="1">
      <c r="A101" s="13">
        <f t="shared" si="3"/>
        <v>97</v>
      </c>
      <c r="B101" s="17" t="s">
        <v>37</v>
      </c>
      <c r="C101" s="19">
        <v>62</v>
      </c>
      <c r="D101" s="18">
        <f t="shared" si="2"/>
        <v>2796.6</v>
      </c>
      <c r="E101" s="18">
        <f>2479.4-44.7-187</f>
        <v>2247.7000000000003</v>
      </c>
      <c r="F101" s="18">
        <f>1606.9-28.6-118.4</f>
        <v>1459.9</v>
      </c>
      <c r="G101" s="13">
        <f>105.3+183.7</f>
        <v>289</v>
      </c>
      <c r="H101" s="13">
        <v>60.6</v>
      </c>
      <c r="I101" s="13"/>
      <c r="J101" s="18">
        <v>43.2</v>
      </c>
      <c r="K101" s="18">
        <v>216.7</v>
      </c>
    </row>
    <row r="102" spans="1:11" s="5" customFormat="1" ht="15.75" customHeight="1">
      <c r="A102" s="13">
        <f t="shared" si="3"/>
        <v>98</v>
      </c>
      <c r="B102" s="17" t="s">
        <v>25</v>
      </c>
      <c r="C102" s="19">
        <v>161</v>
      </c>
      <c r="D102" s="18">
        <f t="shared" si="2"/>
        <v>3665.7</v>
      </c>
      <c r="E102" s="18">
        <f>3129.1-3.4-43.1</f>
        <v>3082.6</v>
      </c>
      <c r="F102" s="18">
        <f>2155.2-63.3-27.4</f>
        <v>2064.4999999999995</v>
      </c>
      <c r="G102" s="13">
        <f>93.2+350.7+43.1+16.7</f>
        <v>503.7</v>
      </c>
      <c r="H102" s="13">
        <v>93.2</v>
      </c>
      <c r="I102" s="13"/>
      <c r="J102" s="18">
        <f>46.7+32.7</f>
        <v>79.4</v>
      </c>
      <c r="K102" s="18"/>
    </row>
    <row r="103" spans="1:11" s="5" customFormat="1" ht="15.75" customHeight="1">
      <c r="A103" s="13">
        <f t="shared" si="3"/>
        <v>99</v>
      </c>
      <c r="B103" s="17" t="s">
        <v>25</v>
      </c>
      <c r="C103" s="19">
        <v>163</v>
      </c>
      <c r="D103" s="18">
        <f t="shared" si="2"/>
        <v>3552</v>
      </c>
      <c r="E103" s="18">
        <v>3552</v>
      </c>
      <c r="F103" s="18">
        <v>2382.5</v>
      </c>
      <c r="G103" s="13"/>
      <c r="H103" s="13"/>
      <c r="I103" s="13"/>
      <c r="J103" s="18">
        <v>0</v>
      </c>
      <c r="K103" s="18">
        <v>0</v>
      </c>
    </row>
    <row r="104" spans="1:11" s="5" customFormat="1" ht="15.75" customHeight="1">
      <c r="A104" s="13">
        <f t="shared" si="3"/>
        <v>100</v>
      </c>
      <c r="B104" s="17" t="s">
        <v>25</v>
      </c>
      <c r="C104" s="19">
        <v>165</v>
      </c>
      <c r="D104" s="18">
        <f t="shared" si="2"/>
        <v>3609.2000000000003</v>
      </c>
      <c r="E104" s="18">
        <f>3566.6-0.3-44.7-46.2</f>
        <v>3475.4</v>
      </c>
      <c r="F104" s="18">
        <f>2389.3+4.4-30.8-30.9</f>
        <v>2332</v>
      </c>
      <c r="G104" s="13">
        <f>44.7+46.2</f>
        <v>90.9</v>
      </c>
      <c r="H104" s="13"/>
      <c r="I104" s="13"/>
      <c r="J104" s="18">
        <v>42.9</v>
      </c>
      <c r="K104" s="18">
        <v>0</v>
      </c>
    </row>
    <row r="105" spans="1:11" s="5" customFormat="1" ht="15.75" customHeight="1">
      <c r="A105" s="13">
        <f t="shared" si="3"/>
        <v>101</v>
      </c>
      <c r="B105" s="17" t="s">
        <v>25</v>
      </c>
      <c r="C105" s="19">
        <v>175</v>
      </c>
      <c r="D105" s="18">
        <f t="shared" si="2"/>
        <v>1958.9999999999998</v>
      </c>
      <c r="E105" s="18">
        <f>1630.6+3.8</f>
        <v>1634.3999999999999</v>
      </c>
      <c r="F105" s="18">
        <f>1043.4+21.1</f>
        <v>1064.5</v>
      </c>
      <c r="G105" s="21">
        <f>234.8+0.2</f>
        <v>235</v>
      </c>
      <c r="H105" s="13"/>
      <c r="I105" s="13"/>
      <c r="J105" s="18">
        <f>81.3+8.3</f>
        <v>89.6</v>
      </c>
      <c r="K105" s="18">
        <v>0</v>
      </c>
    </row>
    <row r="106" spans="1:11" s="5" customFormat="1" ht="15.75" customHeight="1">
      <c r="A106" s="13">
        <f t="shared" si="3"/>
        <v>102</v>
      </c>
      <c r="B106" s="17" t="s">
        <v>25</v>
      </c>
      <c r="C106" s="19">
        <v>177</v>
      </c>
      <c r="D106" s="18">
        <f t="shared" si="2"/>
        <v>1279.1</v>
      </c>
      <c r="E106" s="18">
        <v>1208.6</v>
      </c>
      <c r="F106" s="18">
        <v>779.8</v>
      </c>
      <c r="G106" s="13">
        <v>70.5</v>
      </c>
      <c r="H106" s="13">
        <v>70.5</v>
      </c>
      <c r="I106" s="13"/>
      <c r="J106" s="18">
        <v>0</v>
      </c>
      <c r="K106" s="18">
        <v>0</v>
      </c>
    </row>
    <row r="107" spans="1:11" s="5" customFormat="1" ht="15.75" customHeight="1">
      <c r="A107" s="13">
        <f t="shared" si="3"/>
        <v>103</v>
      </c>
      <c r="B107" s="17" t="s">
        <v>38</v>
      </c>
      <c r="C107" s="19">
        <v>23</v>
      </c>
      <c r="D107" s="18">
        <f t="shared" si="2"/>
        <v>1331.9</v>
      </c>
      <c r="E107" s="18">
        <f>1168.4-43</f>
        <v>1125.4</v>
      </c>
      <c r="F107" s="18">
        <f>775.2-29.4</f>
        <v>745.8000000000001</v>
      </c>
      <c r="G107" s="13">
        <f>72.6+43</f>
        <v>115.6</v>
      </c>
      <c r="H107" s="13">
        <v>72.6</v>
      </c>
      <c r="I107" s="13"/>
      <c r="J107" s="18">
        <v>46.4</v>
      </c>
      <c r="K107" s="18">
        <v>44.5</v>
      </c>
    </row>
    <row r="108" spans="1:11" s="5" customFormat="1" ht="15.75" customHeight="1">
      <c r="A108" s="13">
        <f t="shared" si="3"/>
        <v>104</v>
      </c>
      <c r="B108" s="17" t="s">
        <v>38</v>
      </c>
      <c r="C108" s="19">
        <v>28</v>
      </c>
      <c r="D108" s="18">
        <f t="shared" si="2"/>
        <v>9852.4</v>
      </c>
      <c r="E108" s="18">
        <f>5233.2+29+34</f>
        <v>5296.2</v>
      </c>
      <c r="F108" s="18">
        <f>3110.4+29.7+17.5</f>
        <v>3157.6</v>
      </c>
      <c r="G108" s="13">
        <f>187+4291.7-34</f>
        <v>4444.7</v>
      </c>
      <c r="H108" s="18">
        <v>153</v>
      </c>
      <c r="I108" s="18">
        <v>34</v>
      </c>
      <c r="J108" s="23">
        <f>147.2-35.7</f>
        <v>111.49999999999999</v>
      </c>
      <c r="K108" s="23">
        <v>0</v>
      </c>
    </row>
    <row r="109" spans="1:11" s="5" customFormat="1" ht="15.75" customHeight="1">
      <c r="A109" s="13">
        <f t="shared" si="3"/>
        <v>105</v>
      </c>
      <c r="B109" s="17" t="s">
        <v>38</v>
      </c>
      <c r="C109" s="19">
        <v>39</v>
      </c>
      <c r="D109" s="18">
        <f t="shared" si="2"/>
        <v>6691.699999999999</v>
      </c>
      <c r="E109" s="18">
        <f>5575.9+29.6-78.1+31.7</f>
        <v>5559.099999999999</v>
      </c>
      <c r="F109" s="18">
        <f>3650.6-21.9-25.7</f>
        <v>3603</v>
      </c>
      <c r="G109" s="13">
        <f>1016.4-29.6+78.1-31.7</f>
        <v>1033.1999999999998</v>
      </c>
      <c r="H109" s="18">
        <f>1016.4-31.7</f>
        <v>984.6999999999999</v>
      </c>
      <c r="I109" s="18"/>
      <c r="J109" s="18">
        <v>99.4</v>
      </c>
      <c r="K109" s="18"/>
    </row>
    <row r="110" spans="1:11" s="5" customFormat="1" ht="15.75" customHeight="1">
      <c r="A110" s="13">
        <f t="shared" si="3"/>
        <v>106</v>
      </c>
      <c r="B110" s="17" t="s">
        <v>38</v>
      </c>
      <c r="C110" s="19">
        <v>41</v>
      </c>
      <c r="D110" s="18">
        <f t="shared" si="2"/>
        <v>3543.2000000000003</v>
      </c>
      <c r="E110" s="18">
        <f>2873.4-45.1-45.6</f>
        <v>2782.7000000000003</v>
      </c>
      <c r="F110" s="18">
        <f>1844.1+25.7-29.2-29.5</f>
        <v>1811.1</v>
      </c>
      <c r="G110" s="13">
        <f>598.8+31.7-1.9+45.1+45.6</f>
        <v>719.3000000000001</v>
      </c>
      <c r="H110" s="13">
        <v>532.1</v>
      </c>
      <c r="I110" s="13">
        <v>66.7</v>
      </c>
      <c r="J110" s="18">
        <v>41.2</v>
      </c>
      <c r="K110" s="18"/>
    </row>
    <row r="111" spans="1:11" s="5" customFormat="1" ht="15.75" customHeight="1">
      <c r="A111" s="13">
        <f t="shared" si="3"/>
        <v>107</v>
      </c>
      <c r="B111" s="17" t="s">
        <v>38</v>
      </c>
      <c r="C111" s="19">
        <v>45</v>
      </c>
      <c r="D111" s="18">
        <f t="shared" si="2"/>
        <v>1299.9000000000003</v>
      </c>
      <c r="E111" s="18">
        <f>1254.9-115-18.2+63.9-84.6-115+20.7</f>
        <v>1006.7000000000003</v>
      </c>
      <c r="F111" s="13">
        <f>819.5-74-3.5+3.5-53.9-74+50.4</f>
        <v>668</v>
      </c>
      <c r="G111" s="13">
        <f>115+17.7-17.7+84.5+115-66.8</f>
        <v>247.7</v>
      </c>
      <c r="H111" s="13"/>
      <c r="I111" s="13"/>
      <c r="J111" s="18">
        <f>45.7-0.2+0.2-0.2</f>
        <v>45.5</v>
      </c>
      <c r="K111" s="18">
        <v>0</v>
      </c>
    </row>
    <row r="112" spans="1:11" s="5" customFormat="1" ht="15.75" customHeight="1">
      <c r="A112" s="13">
        <f t="shared" si="3"/>
        <v>108</v>
      </c>
      <c r="B112" s="17" t="s">
        <v>38</v>
      </c>
      <c r="C112" s="15">
        <v>45</v>
      </c>
      <c r="D112" s="18">
        <f t="shared" si="2"/>
        <v>1295.7</v>
      </c>
      <c r="E112" s="13">
        <f>1295.7-42.6</f>
        <v>1253.1000000000001</v>
      </c>
      <c r="F112" s="24">
        <f>843.6-28.8</f>
        <v>814.8000000000001</v>
      </c>
      <c r="G112" s="13">
        <f>42.6</f>
        <v>42.6</v>
      </c>
      <c r="H112" s="13"/>
      <c r="I112" s="13"/>
      <c r="J112" s="13"/>
      <c r="K112" s="13"/>
    </row>
    <row r="113" spans="1:11" s="5" customFormat="1" ht="15.75" customHeight="1">
      <c r="A113" s="13">
        <f t="shared" si="3"/>
        <v>109</v>
      </c>
      <c r="B113" s="17" t="s">
        <v>38</v>
      </c>
      <c r="C113" s="19">
        <v>47</v>
      </c>
      <c r="D113" s="18">
        <f t="shared" si="2"/>
        <v>2215.4</v>
      </c>
      <c r="E113" s="18">
        <f>1888.9-7.5-39-42.6</f>
        <v>1799.8000000000002</v>
      </c>
      <c r="F113" s="18">
        <f>1217.6-8.6-26.1-28</f>
        <v>1154.9</v>
      </c>
      <c r="G113" s="13">
        <f>187.8+85.6+10.5+42.6+39</f>
        <v>365.5</v>
      </c>
      <c r="H113" s="13">
        <v>187.8</v>
      </c>
      <c r="I113" s="13"/>
      <c r="J113" s="18">
        <v>50.1</v>
      </c>
      <c r="K113" s="18"/>
    </row>
    <row r="114" spans="1:11" s="5" customFormat="1" ht="15.75" customHeight="1">
      <c r="A114" s="13">
        <f t="shared" si="3"/>
        <v>110</v>
      </c>
      <c r="B114" s="17" t="s">
        <v>38</v>
      </c>
      <c r="C114" s="19">
        <v>49</v>
      </c>
      <c r="D114" s="18">
        <f t="shared" si="2"/>
        <v>1351.8</v>
      </c>
      <c r="E114" s="18">
        <f>1222.1-41.6-44.7-45.5</f>
        <v>1090.3</v>
      </c>
      <c r="F114" s="18">
        <f>796.2-28.8-28.5-29</f>
        <v>709.9000000000001</v>
      </c>
      <c r="G114" s="13">
        <f>31.7+43.2+41.6+44.7+45.5</f>
        <v>206.7</v>
      </c>
      <c r="H114" s="13"/>
      <c r="I114" s="13"/>
      <c r="J114" s="18">
        <v>54.8</v>
      </c>
      <c r="K114" s="18">
        <v>0</v>
      </c>
    </row>
    <row r="115" spans="1:11" s="5" customFormat="1" ht="15.75" customHeight="1">
      <c r="A115" s="13">
        <f t="shared" si="3"/>
        <v>111</v>
      </c>
      <c r="B115" s="17" t="s">
        <v>38</v>
      </c>
      <c r="C115" s="19">
        <v>51</v>
      </c>
      <c r="D115" s="18">
        <f t="shared" si="2"/>
        <v>2726</v>
      </c>
      <c r="E115" s="18">
        <f>1903.3-65.2</f>
        <v>1838.1</v>
      </c>
      <c r="F115" s="18">
        <f>926.8-37.8</f>
        <v>889</v>
      </c>
      <c r="G115" s="13">
        <f>774.2+65.2</f>
        <v>839.4000000000001</v>
      </c>
      <c r="H115" s="13">
        <v>762.7</v>
      </c>
      <c r="I115" s="13">
        <v>11.5</v>
      </c>
      <c r="J115" s="18">
        <v>48.5</v>
      </c>
      <c r="K115" s="18">
        <v>0</v>
      </c>
    </row>
    <row r="116" spans="1:11" s="5" customFormat="1" ht="15.75" customHeight="1">
      <c r="A116" s="13">
        <f t="shared" si="3"/>
        <v>112</v>
      </c>
      <c r="B116" s="17" t="s">
        <v>38</v>
      </c>
      <c r="C116" s="19">
        <v>61</v>
      </c>
      <c r="D116" s="18">
        <f t="shared" si="2"/>
        <v>2934.8</v>
      </c>
      <c r="E116" s="18">
        <f>2322.9-78.1</f>
        <v>2244.8</v>
      </c>
      <c r="F116" s="18">
        <f>1346.2-48.8</f>
        <v>1297.4</v>
      </c>
      <c r="G116" s="13">
        <v>690</v>
      </c>
      <c r="H116" s="13">
        <v>611.9</v>
      </c>
      <c r="I116" s="13"/>
      <c r="J116" s="18">
        <v>0</v>
      </c>
      <c r="K116" s="18">
        <v>0</v>
      </c>
    </row>
    <row r="117" spans="1:11" s="5" customFormat="1" ht="15.75" customHeight="1">
      <c r="A117" s="13">
        <f t="shared" si="3"/>
        <v>113</v>
      </c>
      <c r="B117" s="17" t="s">
        <v>38</v>
      </c>
      <c r="C117" s="15">
        <v>63</v>
      </c>
      <c r="D117" s="18">
        <f t="shared" si="2"/>
        <v>1709</v>
      </c>
      <c r="E117" s="13">
        <f>1434.6-31.1-113.9</f>
        <v>1289.6</v>
      </c>
      <c r="F117" s="13">
        <f>966.7-17.9-140.8</f>
        <v>808</v>
      </c>
      <c r="G117" s="13">
        <f>31.3+292.2</f>
        <v>323.5</v>
      </c>
      <c r="H117" s="13"/>
      <c r="I117" s="13"/>
      <c r="J117" s="13">
        <v>95.9</v>
      </c>
      <c r="K117" s="13"/>
    </row>
    <row r="118" spans="1:11" s="5" customFormat="1" ht="15.75" customHeight="1">
      <c r="A118" s="13">
        <f t="shared" si="3"/>
        <v>114</v>
      </c>
      <c r="B118" s="17" t="s">
        <v>38</v>
      </c>
      <c r="C118" s="15">
        <v>65</v>
      </c>
      <c r="D118" s="18">
        <f t="shared" si="2"/>
        <v>5781.1</v>
      </c>
      <c r="E118" s="13">
        <f>5264+95.6</f>
        <v>5359.6</v>
      </c>
      <c r="F118" s="13">
        <v>3113.2</v>
      </c>
      <c r="G118" s="13">
        <f>72.3+349.2</f>
        <v>421.5</v>
      </c>
      <c r="H118" s="13"/>
      <c r="I118" s="13"/>
      <c r="J118" s="13"/>
      <c r="K118" s="13"/>
    </row>
    <row r="119" spans="1:11" s="5" customFormat="1" ht="15.75" customHeight="1">
      <c r="A119" s="13">
        <f t="shared" si="3"/>
        <v>115</v>
      </c>
      <c r="B119" s="17" t="s">
        <v>38</v>
      </c>
      <c r="C119" s="19">
        <v>69</v>
      </c>
      <c r="D119" s="18">
        <f>SUM(E119+G119+J119+K119)</f>
        <v>3546.2</v>
      </c>
      <c r="E119" s="18">
        <f>2622.6-29.3</f>
        <v>2593.2999999999997</v>
      </c>
      <c r="F119" s="18">
        <f>1703.6-17.5</f>
        <v>1686.1</v>
      </c>
      <c r="G119" s="13">
        <v>817.9</v>
      </c>
      <c r="H119" s="13">
        <v>788.6</v>
      </c>
      <c r="I119" s="13"/>
      <c r="J119" s="13">
        <v>50.5</v>
      </c>
      <c r="K119" s="13">
        <v>84.5</v>
      </c>
    </row>
    <row r="120" spans="1:11" s="5" customFormat="1" ht="15.75" customHeight="1">
      <c r="A120" s="13">
        <f t="shared" si="3"/>
        <v>116</v>
      </c>
      <c r="B120" s="17" t="s">
        <v>38</v>
      </c>
      <c r="C120" s="15" t="s">
        <v>39</v>
      </c>
      <c r="D120" s="18">
        <f>SUM(E120+G120+J120+K120)</f>
        <v>3552.9</v>
      </c>
      <c r="E120" s="13">
        <f>3251.1-37.3</f>
        <v>3213.7999999999997</v>
      </c>
      <c r="F120" s="13">
        <v>2066.8</v>
      </c>
      <c r="G120" s="13">
        <v>301.8</v>
      </c>
      <c r="H120" s="13"/>
      <c r="I120" s="13"/>
      <c r="J120" s="13">
        <f>301.8-264.5</f>
        <v>37.30000000000001</v>
      </c>
      <c r="K120" s="13"/>
    </row>
    <row r="121" spans="1:11" s="5" customFormat="1" ht="15.75" customHeight="1">
      <c r="A121" s="13">
        <f t="shared" si="3"/>
        <v>117</v>
      </c>
      <c r="B121" s="17" t="s">
        <v>38</v>
      </c>
      <c r="C121" s="15" t="s">
        <v>40</v>
      </c>
      <c r="D121" s="18">
        <f>SUM(E121+G121+J121+K121)</f>
        <v>2116.5</v>
      </c>
      <c r="E121" s="13">
        <v>1767.8</v>
      </c>
      <c r="F121" s="13">
        <v>1178.1</v>
      </c>
      <c r="G121" s="13"/>
      <c r="H121" s="13"/>
      <c r="I121" s="13"/>
      <c r="J121" s="13">
        <v>348.7</v>
      </c>
      <c r="K121" s="13"/>
    </row>
    <row r="122" spans="1:11" s="5" customFormat="1" ht="15.75" customHeight="1">
      <c r="A122" s="13">
        <f t="shared" si="3"/>
        <v>118</v>
      </c>
      <c r="B122" s="17" t="s">
        <v>41</v>
      </c>
      <c r="C122" s="15">
        <v>1</v>
      </c>
      <c r="D122" s="18">
        <f>SUM(E122+G122+J122+K122)</f>
        <v>5688.400000000001</v>
      </c>
      <c r="E122" s="13">
        <v>3760.8</v>
      </c>
      <c r="F122" s="13">
        <v>2442.9</v>
      </c>
      <c r="G122" s="13">
        <v>1887.3</v>
      </c>
      <c r="H122" s="13"/>
      <c r="I122" s="13"/>
      <c r="J122" s="13">
        <f>40.15+0.15</f>
        <v>40.3</v>
      </c>
      <c r="K122" s="13"/>
    </row>
    <row r="123" spans="1:11" s="5" customFormat="1" ht="15.75" customHeight="1">
      <c r="A123" s="13">
        <f t="shared" si="3"/>
        <v>119</v>
      </c>
      <c r="B123" s="17" t="s">
        <v>41</v>
      </c>
      <c r="C123" s="19">
        <v>4</v>
      </c>
      <c r="D123" s="18">
        <f>SUM(E123+G123+J123+K123)</f>
        <v>3783.2</v>
      </c>
      <c r="E123" s="18">
        <f>3189.1-78.8</f>
        <v>3110.2999999999997</v>
      </c>
      <c r="F123" s="18">
        <f>2124.2-57.5</f>
        <v>2066.7</v>
      </c>
      <c r="G123" s="13">
        <f>328.1+109.6+179.9</f>
        <v>617.6</v>
      </c>
      <c r="H123" s="13">
        <v>328.1</v>
      </c>
      <c r="I123" s="13"/>
      <c r="J123" s="18">
        <v>55.3</v>
      </c>
      <c r="K123" s="18"/>
    </row>
    <row r="124" spans="1:11" s="5" customFormat="1" ht="15.75" customHeight="1">
      <c r="A124" s="13">
        <f t="shared" si="3"/>
        <v>120</v>
      </c>
      <c r="B124" s="17" t="s">
        <v>42</v>
      </c>
      <c r="C124" s="15">
        <v>92</v>
      </c>
      <c r="D124" s="18">
        <f aca="true" t="shared" si="4" ref="D124:D187">SUM(E124+G124+J124+K124)</f>
        <v>2633.7000000000003</v>
      </c>
      <c r="E124" s="18">
        <v>2588.3</v>
      </c>
      <c r="F124" s="16">
        <v>1857.7</v>
      </c>
      <c r="G124" s="13">
        <f aca="true" t="shared" si="5" ref="G124:G129">SUM(H124:I124)</f>
        <v>0</v>
      </c>
      <c r="H124" s="13"/>
      <c r="I124" s="13"/>
      <c r="J124" s="13">
        <v>45.4</v>
      </c>
      <c r="K124" s="13"/>
    </row>
    <row r="125" spans="1:11" s="5" customFormat="1" ht="15.75" customHeight="1">
      <c r="A125" s="13">
        <f t="shared" si="3"/>
        <v>121</v>
      </c>
      <c r="B125" s="17" t="s">
        <v>42</v>
      </c>
      <c r="C125" s="15">
        <v>94</v>
      </c>
      <c r="D125" s="18">
        <f t="shared" si="4"/>
        <v>2647.6</v>
      </c>
      <c r="E125" s="18">
        <v>2597.4</v>
      </c>
      <c r="F125" s="16">
        <v>1723.7</v>
      </c>
      <c r="G125" s="13">
        <f t="shared" si="5"/>
        <v>0</v>
      </c>
      <c r="H125" s="13"/>
      <c r="I125" s="13"/>
      <c r="J125" s="13">
        <v>50.2</v>
      </c>
      <c r="K125" s="13"/>
    </row>
    <row r="126" spans="1:11" s="5" customFormat="1" ht="15.75" customHeight="1">
      <c r="A126" s="13">
        <f t="shared" si="3"/>
        <v>122</v>
      </c>
      <c r="B126" s="17" t="s">
        <v>42</v>
      </c>
      <c r="C126" s="15">
        <v>111</v>
      </c>
      <c r="D126" s="18">
        <f t="shared" si="4"/>
        <v>1375.3000000000002</v>
      </c>
      <c r="E126" s="18">
        <v>1109.5</v>
      </c>
      <c r="F126" s="16">
        <v>706.7</v>
      </c>
      <c r="G126" s="13">
        <f t="shared" si="5"/>
        <v>0</v>
      </c>
      <c r="H126" s="13"/>
      <c r="I126" s="13"/>
      <c r="J126" s="13">
        <v>13.9</v>
      </c>
      <c r="K126" s="13">
        <v>251.9</v>
      </c>
    </row>
    <row r="127" spans="1:11" s="5" customFormat="1" ht="15.75" customHeight="1">
      <c r="A127" s="13">
        <f t="shared" si="3"/>
        <v>123</v>
      </c>
      <c r="B127" s="17" t="s">
        <v>42</v>
      </c>
      <c r="C127" s="15">
        <v>117</v>
      </c>
      <c r="D127" s="18">
        <f t="shared" si="4"/>
        <v>3956</v>
      </c>
      <c r="E127" s="18">
        <v>3872.5</v>
      </c>
      <c r="F127" s="16">
        <v>2354.7</v>
      </c>
      <c r="G127" s="13">
        <f t="shared" si="5"/>
        <v>16.5</v>
      </c>
      <c r="H127" s="13"/>
      <c r="I127" s="13">
        <v>16.5</v>
      </c>
      <c r="J127" s="13">
        <v>67</v>
      </c>
      <c r="K127" s="13"/>
    </row>
    <row r="128" spans="1:11" s="5" customFormat="1" ht="15.75" customHeight="1">
      <c r="A128" s="13">
        <f t="shared" si="3"/>
        <v>124</v>
      </c>
      <c r="B128" s="17" t="s">
        <v>42</v>
      </c>
      <c r="C128" s="15">
        <v>118</v>
      </c>
      <c r="D128" s="18">
        <f t="shared" si="4"/>
        <v>1211.6000000000001</v>
      </c>
      <c r="E128" s="18">
        <v>671.6</v>
      </c>
      <c r="F128" s="16">
        <v>461.7</v>
      </c>
      <c r="G128" s="13">
        <f t="shared" si="5"/>
        <v>342.6</v>
      </c>
      <c r="H128" s="13">
        <v>342.6</v>
      </c>
      <c r="I128" s="13"/>
      <c r="J128" s="13">
        <v>98</v>
      </c>
      <c r="K128" s="13">
        <v>99.4</v>
      </c>
    </row>
    <row r="129" spans="1:11" s="5" customFormat="1" ht="15.75" customHeight="1">
      <c r="A129" s="13">
        <f t="shared" si="3"/>
        <v>125</v>
      </c>
      <c r="B129" s="17" t="s">
        <v>42</v>
      </c>
      <c r="C129" s="15">
        <v>119</v>
      </c>
      <c r="D129" s="18">
        <f t="shared" si="4"/>
        <v>2235.5</v>
      </c>
      <c r="E129" s="18">
        <f>1901.5-32.7</f>
        <v>1868.8</v>
      </c>
      <c r="F129" s="16">
        <f>1237.4-18.2</f>
        <v>1219.2</v>
      </c>
      <c r="G129" s="13">
        <f t="shared" si="5"/>
        <v>78</v>
      </c>
      <c r="H129" s="13">
        <f>45.3+32.7</f>
        <v>78</v>
      </c>
      <c r="I129" s="13"/>
      <c r="J129" s="13">
        <v>205.7</v>
      </c>
      <c r="K129" s="13">
        <v>83</v>
      </c>
    </row>
    <row r="130" spans="1:11" s="5" customFormat="1" ht="15.75" customHeight="1">
      <c r="A130" s="13">
        <f t="shared" si="3"/>
        <v>126</v>
      </c>
      <c r="B130" s="17" t="s">
        <v>42</v>
      </c>
      <c r="C130" s="15" t="s">
        <v>43</v>
      </c>
      <c r="D130" s="18">
        <f t="shared" si="4"/>
        <v>1694</v>
      </c>
      <c r="E130" s="18">
        <v>1534.5</v>
      </c>
      <c r="F130" s="16">
        <v>1009.6</v>
      </c>
      <c r="G130" s="13">
        <v>141.9</v>
      </c>
      <c r="H130" s="13"/>
      <c r="I130" s="13"/>
      <c r="J130" s="13">
        <f>14.2+3.4</f>
        <v>17.599999999999998</v>
      </c>
      <c r="K130" s="13"/>
    </row>
    <row r="131" spans="1:11" s="5" customFormat="1" ht="15.75" customHeight="1">
      <c r="A131" s="13">
        <f t="shared" si="3"/>
        <v>127</v>
      </c>
      <c r="B131" s="17" t="s">
        <v>42</v>
      </c>
      <c r="C131" s="15" t="s">
        <v>44</v>
      </c>
      <c r="D131" s="18">
        <f t="shared" si="4"/>
        <v>1335.6999999999998</v>
      </c>
      <c r="E131" s="18">
        <v>1311.1</v>
      </c>
      <c r="F131" s="16">
        <v>883.9</v>
      </c>
      <c r="G131" s="13">
        <f>SUM(H131:I131)</f>
        <v>0</v>
      </c>
      <c r="H131" s="13"/>
      <c r="I131" s="13"/>
      <c r="J131" s="13">
        <v>24.6</v>
      </c>
      <c r="K131" s="13"/>
    </row>
    <row r="132" spans="1:11" s="5" customFormat="1" ht="15.75" customHeight="1">
      <c r="A132" s="13">
        <f t="shared" si="3"/>
        <v>128</v>
      </c>
      <c r="B132" s="17" t="s">
        <v>42</v>
      </c>
      <c r="C132" s="15" t="s">
        <v>45</v>
      </c>
      <c r="D132" s="18">
        <f t="shared" si="4"/>
        <v>1620</v>
      </c>
      <c r="E132" s="18">
        <v>1281.1</v>
      </c>
      <c r="F132" s="16">
        <v>875.1</v>
      </c>
      <c r="G132" s="13">
        <v>321.4</v>
      </c>
      <c r="H132" s="13"/>
      <c r="I132" s="13"/>
      <c r="J132" s="13">
        <v>17.5</v>
      </c>
      <c r="K132" s="13"/>
    </row>
    <row r="133" spans="1:11" s="5" customFormat="1" ht="15.75" customHeight="1">
      <c r="A133" s="13">
        <f t="shared" si="3"/>
        <v>129</v>
      </c>
      <c r="B133" s="17" t="s">
        <v>42</v>
      </c>
      <c r="C133" s="15" t="s">
        <v>46</v>
      </c>
      <c r="D133" s="18">
        <f t="shared" si="4"/>
        <v>2589.3</v>
      </c>
      <c r="E133" s="18">
        <v>2589.3</v>
      </c>
      <c r="F133" s="16">
        <v>1857.1</v>
      </c>
      <c r="G133" s="13">
        <f>SUM(H133:I133)</f>
        <v>0</v>
      </c>
      <c r="H133" s="13"/>
      <c r="I133" s="13"/>
      <c r="J133" s="13"/>
      <c r="K133" s="13"/>
    </row>
    <row r="134" spans="1:11" s="5" customFormat="1" ht="15.75" customHeight="1">
      <c r="A134" s="13">
        <f aca="true" t="shared" si="6" ref="A134:A197">A133+1</f>
        <v>130</v>
      </c>
      <c r="B134" s="25" t="s">
        <v>42</v>
      </c>
      <c r="C134" s="15" t="s">
        <v>47</v>
      </c>
      <c r="D134" s="18">
        <f t="shared" si="4"/>
        <v>1949.2</v>
      </c>
      <c r="E134" s="18">
        <v>1663.6</v>
      </c>
      <c r="F134" s="16">
        <v>1020.4</v>
      </c>
      <c r="G134" s="13">
        <f>SUM(H134:I134)</f>
        <v>253.7</v>
      </c>
      <c r="H134" s="13"/>
      <c r="I134" s="13">
        <v>253.7</v>
      </c>
      <c r="J134" s="13">
        <v>31.9</v>
      </c>
      <c r="K134" s="13"/>
    </row>
    <row r="135" spans="1:11" s="5" customFormat="1" ht="15.75" customHeight="1">
      <c r="A135" s="13">
        <f t="shared" si="6"/>
        <v>131</v>
      </c>
      <c r="B135" s="25" t="s">
        <v>12</v>
      </c>
      <c r="C135" s="15">
        <v>28</v>
      </c>
      <c r="D135" s="18">
        <f t="shared" si="4"/>
        <v>10188.1</v>
      </c>
      <c r="E135" s="18">
        <v>6821.4</v>
      </c>
      <c r="F135" s="16">
        <v>4351.4</v>
      </c>
      <c r="G135" s="13">
        <f>SUM(H135:I135)</f>
        <v>3167.6</v>
      </c>
      <c r="H135" s="18">
        <v>3167.6</v>
      </c>
      <c r="I135" s="18"/>
      <c r="J135" s="13">
        <v>156</v>
      </c>
      <c r="K135" s="13">
        <v>43.1</v>
      </c>
    </row>
    <row r="136" spans="1:11" s="5" customFormat="1" ht="15.75" customHeight="1">
      <c r="A136" s="13">
        <f t="shared" si="6"/>
        <v>132</v>
      </c>
      <c r="B136" s="25" t="s">
        <v>12</v>
      </c>
      <c r="C136" s="15">
        <v>30</v>
      </c>
      <c r="D136" s="18">
        <f t="shared" si="4"/>
        <v>12021.099999999999</v>
      </c>
      <c r="E136" s="18">
        <f>8493.9-43-2.7</f>
        <v>8448.199999999999</v>
      </c>
      <c r="F136" s="16">
        <f>5010.3-29-6.1</f>
        <v>4975.2</v>
      </c>
      <c r="G136" s="13">
        <f>1242.4+1501.1+461.6</f>
        <v>3205.1</v>
      </c>
      <c r="H136" s="13">
        <v>1242.4</v>
      </c>
      <c r="I136" s="13"/>
      <c r="J136" s="13">
        <f>296+43+28.8</f>
        <v>367.8</v>
      </c>
      <c r="K136" s="13"/>
    </row>
    <row r="137" spans="1:11" s="5" customFormat="1" ht="15.75" customHeight="1">
      <c r="A137" s="13">
        <f t="shared" si="6"/>
        <v>133</v>
      </c>
      <c r="B137" s="25" t="s">
        <v>12</v>
      </c>
      <c r="C137" s="15">
        <v>34</v>
      </c>
      <c r="D137" s="18">
        <f t="shared" si="4"/>
        <v>6208.299999999999</v>
      </c>
      <c r="E137" s="18">
        <f>4233.1-37.6-1.5</f>
        <v>4194</v>
      </c>
      <c r="F137" s="16">
        <f>2605.9-19.8</f>
        <v>2586.1</v>
      </c>
      <c r="G137" s="13">
        <f>SUM(H137:I137)+37.6</f>
        <v>213.4</v>
      </c>
      <c r="H137" s="13">
        <v>129.1</v>
      </c>
      <c r="I137" s="13">
        <v>46.7</v>
      </c>
      <c r="J137" s="13">
        <v>33.5</v>
      </c>
      <c r="K137" s="13">
        <v>1767.4</v>
      </c>
    </row>
    <row r="138" spans="1:11" s="5" customFormat="1" ht="15.75" customHeight="1">
      <c r="A138" s="13">
        <f t="shared" si="6"/>
        <v>134</v>
      </c>
      <c r="B138" s="25" t="s">
        <v>12</v>
      </c>
      <c r="C138" s="15">
        <v>36</v>
      </c>
      <c r="D138" s="18">
        <f t="shared" si="4"/>
        <v>5863.5</v>
      </c>
      <c r="E138" s="18">
        <f>4437.7-104.2-43.6-249.9-2.5</f>
        <v>4037.4999999999995</v>
      </c>
      <c r="F138" s="16">
        <f>2997.2-63.9-30.1-185.6</f>
        <v>2717.6</v>
      </c>
      <c r="G138" s="13">
        <f>SUM(H138:I138)+104.2+43.6+613.8+615.3</f>
        <v>1709</v>
      </c>
      <c r="H138" s="13">
        <v>141.4</v>
      </c>
      <c r="I138" s="13">
        <v>190.7</v>
      </c>
      <c r="J138" s="13">
        <f>103.3+13.7</f>
        <v>117</v>
      </c>
      <c r="K138" s="13"/>
    </row>
    <row r="139" spans="1:11" s="5" customFormat="1" ht="15.75" customHeight="1">
      <c r="A139" s="13">
        <f t="shared" si="6"/>
        <v>135</v>
      </c>
      <c r="B139" s="25" t="s">
        <v>12</v>
      </c>
      <c r="C139" s="15">
        <v>38</v>
      </c>
      <c r="D139" s="18">
        <f t="shared" si="4"/>
        <v>18117.2</v>
      </c>
      <c r="E139" s="23">
        <v>14477.1</v>
      </c>
      <c r="F139" s="23">
        <v>12359.6</v>
      </c>
      <c r="G139" s="13">
        <f>SUM(H139:I139)</f>
        <v>3128.1000000000004</v>
      </c>
      <c r="H139" s="13">
        <v>3062.3</v>
      </c>
      <c r="I139" s="13">
        <v>65.8</v>
      </c>
      <c r="J139" s="13">
        <v>512</v>
      </c>
      <c r="K139" s="13"/>
    </row>
    <row r="140" spans="1:11" s="5" customFormat="1" ht="15.75" customHeight="1">
      <c r="A140" s="13">
        <f t="shared" si="6"/>
        <v>136</v>
      </c>
      <c r="B140" s="25" t="s">
        <v>12</v>
      </c>
      <c r="C140" s="15" t="s">
        <v>48</v>
      </c>
      <c r="D140" s="18">
        <f t="shared" si="4"/>
        <v>6154.8</v>
      </c>
      <c r="E140" s="18">
        <f>5715.9-46.6-60.9+46.6+60.9</f>
        <v>5715.9</v>
      </c>
      <c r="F140" s="16">
        <f>3940.9-31.1-44.6+31.1+44.6</f>
        <v>3940.9</v>
      </c>
      <c r="G140" s="13">
        <f>379.6+46.6+60.9-46.6-60.9</f>
        <v>379.6</v>
      </c>
      <c r="H140" s="13">
        <v>379.6</v>
      </c>
      <c r="I140" s="13"/>
      <c r="J140" s="13">
        <v>59.3</v>
      </c>
      <c r="K140" s="13"/>
    </row>
    <row r="141" spans="1:11" s="5" customFormat="1" ht="15.75" customHeight="1">
      <c r="A141" s="13">
        <f t="shared" si="6"/>
        <v>137</v>
      </c>
      <c r="B141" s="25" t="s">
        <v>12</v>
      </c>
      <c r="C141" s="15" t="s">
        <v>49</v>
      </c>
      <c r="D141" s="18">
        <f t="shared" si="4"/>
        <v>2747.2</v>
      </c>
      <c r="E141" s="18">
        <f>2699.1-60.9</f>
        <v>2638.2</v>
      </c>
      <c r="F141" s="16">
        <f>1825.3-44.7</f>
        <v>1780.6</v>
      </c>
      <c r="G141" s="13">
        <f>SUM(H141:I141)+60.9</f>
        <v>60.9</v>
      </c>
      <c r="H141" s="13"/>
      <c r="I141" s="13"/>
      <c r="J141" s="13">
        <v>48.1</v>
      </c>
      <c r="K141" s="13"/>
    </row>
    <row r="142" spans="1:11" s="5" customFormat="1" ht="15.75" customHeight="1">
      <c r="A142" s="13">
        <f t="shared" si="6"/>
        <v>138</v>
      </c>
      <c r="B142" s="25" t="s">
        <v>12</v>
      </c>
      <c r="C142" s="15" t="s">
        <v>50</v>
      </c>
      <c r="D142" s="18">
        <f t="shared" si="4"/>
        <v>2731.6999999999994</v>
      </c>
      <c r="E142" s="18">
        <f>2683.6-60.8-29.9</f>
        <v>2592.8999999999996</v>
      </c>
      <c r="F142" s="16">
        <f>1814-44.6-17.1</f>
        <v>1752.3000000000002</v>
      </c>
      <c r="G142" s="13">
        <f>60.8+29.9</f>
        <v>90.69999999999999</v>
      </c>
      <c r="H142" s="13"/>
      <c r="I142" s="13"/>
      <c r="J142" s="13">
        <v>48.1</v>
      </c>
      <c r="K142" s="13"/>
    </row>
    <row r="143" spans="1:11" s="5" customFormat="1" ht="15.75" customHeight="1">
      <c r="A143" s="13">
        <f t="shared" si="6"/>
        <v>139</v>
      </c>
      <c r="B143" s="25" t="s">
        <v>12</v>
      </c>
      <c r="C143" s="15" t="s">
        <v>51</v>
      </c>
      <c r="D143" s="18">
        <f t="shared" si="4"/>
        <v>2739.6</v>
      </c>
      <c r="E143" s="18">
        <v>2693.1</v>
      </c>
      <c r="F143" s="16">
        <v>1819.6</v>
      </c>
      <c r="G143" s="13">
        <f>SUM(H143:I143)</f>
        <v>0</v>
      </c>
      <c r="H143" s="13"/>
      <c r="I143" s="13"/>
      <c r="J143" s="13">
        <v>46.5</v>
      </c>
      <c r="K143" s="13"/>
    </row>
    <row r="144" spans="1:11" s="5" customFormat="1" ht="15.75" customHeight="1">
      <c r="A144" s="13">
        <f t="shared" si="6"/>
        <v>140</v>
      </c>
      <c r="B144" s="25" t="s">
        <v>12</v>
      </c>
      <c r="C144" s="15" t="s">
        <v>30</v>
      </c>
      <c r="D144" s="18">
        <f t="shared" si="4"/>
        <v>6652.3</v>
      </c>
      <c r="E144" s="18">
        <f>6585-5.6-3.2</f>
        <v>6576.2</v>
      </c>
      <c r="F144" s="16">
        <v>4060.2</v>
      </c>
      <c r="G144" s="13">
        <f>SUM(H144:I144)</f>
        <v>0</v>
      </c>
      <c r="H144" s="13"/>
      <c r="I144" s="13"/>
      <c r="J144" s="13">
        <v>76.1</v>
      </c>
      <c r="K144" s="13"/>
    </row>
    <row r="145" spans="1:11" s="5" customFormat="1" ht="15.75" customHeight="1">
      <c r="A145" s="13">
        <f t="shared" si="6"/>
        <v>141</v>
      </c>
      <c r="B145" s="25" t="s">
        <v>12</v>
      </c>
      <c r="C145" s="15" t="s">
        <v>52</v>
      </c>
      <c r="D145" s="18">
        <f t="shared" si="4"/>
        <v>3304.7999999999997</v>
      </c>
      <c r="E145" s="18">
        <v>2679.1</v>
      </c>
      <c r="F145" s="16">
        <v>1802.6</v>
      </c>
      <c r="G145" s="13">
        <f>SUM(H145:I145)</f>
        <v>135.9</v>
      </c>
      <c r="H145" s="13">
        <v>135.9</v>
      </c>
      <c r="I145" s="13"/>
      <c r="J145" s="13">
        <v>41.2</v>
      </c>
      <c r="K145" s="13">
        <v>448.6</v>
      </c>
    </row>
    <row r="146" spans="1:11" s="5" customFormat="1" ht="15.75" customHeight="1">
      <c r="A146" s="13">
        <f t="shared" si="6"/>
        <v>142</v>
      </c>
      <c r="B146" s="25" t="s">
        <v>12</v>
      </c>
      <c r="C146" s="15" t="s">
        <v>53</v>
      </c>
      <c r="D146" s="18">
        <f t="shared" si="4"/>
        <v>2631.3</v>
      </c>
      <c r="E146" s="18">
        <f>2601.3-41.4</f>
        <v>2559.9</v>
      </c>
      <c r="F146" s="16">
        <f>1691.4-25.6</f>
        <v>1665.8000000000002</v>
      </c>
      <c r="G146" s="13">
        <f>41.5</f>
        <v>41.5</v>
      </c>
      <c r="H146" s="13"/>
      <c r="I146" s="13"/>
      <c r="J146" s="13">
        <v>29.9</v>
      </c>
      <c r="K146" s="13"/>
    </row>
    <row r="147" spans="1:11" s="5" customFormat="1" ht="15.75" customHeight="1">
      <c r="A147" s="13">
        <f t="shared" si="6"/>
        <v>143</v>
      </c>
      <c r="B147" s="25" t="s">
        <v>12</v>
      </c>
      <c r="C147" s="15" t="s">
        <v>54</v>
      </c>
      <c r="D147" s="18">
        <f t="shared" si="4"/>
        <v>2585.6</v>
      </c>
      <c r="E147" s="18">
        <f>2558.6-55.2</f>
        <v>2503.4</v>
      </c>
      <c r="F147" s="16">
        <f>1663.3-36.7</f>
        <v>1626.6</v>
      </c>
      <c r="G147" s="13">
        <v>55.2</v>
      </c>
      <c r="H147" s="13"/>
      <c r="I147" s="13"/>
      <c r="J147" s="13">
        <v>27</v>
      </c>
      <c r="K147" s="13"/>
    </row>
    <row r="148" spans="1:11" s="5" customFormat="1" ht="15.75" customHeight="1">
      <c r="A148" s="13">
        <f t="shared" si="6"/>
        <v>144</v>
      </c>
      <c r="B148" s="25" t="s">
        <v>55</v>
      </c>
      <c r="C148" s="15">
        <v>2</v>
      </c>
      <c r="D148" s="18">
        <f t="shared" si="4"/>
        <v>2654.7</v>
      </c>
      <c r="E148" s="18">
        <v>2606.1</v>
      </c>
      <c r="F148" s="16">
        <v>1727.9</v>
      </c>
      <c r="G148" s="13">
        <f>SUM(H148:I148)</f>
        <v>0</v>
      </c>
      <c r="H148" s="13"/>
      <c r="I148" s="13"/>
      <c r="J148" s="13">
        <v>48.6</v>
      </c>
      <c r="K148" s="13"/>
    </row>
    <row r="149" spans="1:11" s="5" customFormat="1" ht="15.75" customHeight="1">
      <c r="A149" s="13">
        <f t="shared" si="6"/>
        <v>145</v>
      </c>
      <c r="B149" s="25" t="s">
        <v>55</v>
      </c>
      <c r="C149" s="15">
        <v>4</v>
      </c>
      <c r="D149" s="18">
        <f t="shared" si="4"/>
        <v>2668.6000000000004</v>
      </c>
      <c r="E149" s="18">
        <f>2624.8-1.8+0.8</f>
        <v>2623.8</v>
      </c>
      <c r="F149" s="16">
        <f>1738.7-16.7</f>
        <v>1722</v>
      </c>
      <c r="G149" s="13">
        <f>SUM(H149:I149)</f>
        <v>0</v>
      </c>
      <c r="H149" s="13"/>
      <c r="I149" s="13"/>
      <c r="J149" s="13">
        <v>44.8</v>
      </c>
      <c r="K149" s="13"/>
    </row>
    <row r="150" spans="1:11" s="5" customFormat="1" ht="15.75" customHeight="1">
      <c r="A150" s="13">
        <f t="shared" si="6"/>
        <v>146</v>
      </c>
      <c r="B150" s="25" t="s">
        <v>55</v>
      </c>
      <c r="C150" s="15">
        <v>6</v>
      </c>
      <c r="D150" s="18">
        <f t="shared" si="4"/>
        <v>2615.3</v>
      </c>
      <c r="E150" s="18">
        <f>2583.4+1</f>
        <v>2584.4</v>
      </c>
      <c r="F150" s="16">
        <v>1717.8</v>
      </c>
      <c r="G150" s="13">
        <f>SUM(H150:I150)</f>
        <v>0</v>
      </c>
      <c r="H150" s="13"/>
      <c r="I150" s="13"/>
      <c r="J150" s="13">
        <v>30.9</v>
      </c>
      <c r="K150" s="13"/>
    </row>
    <row r="151" spans="1:11" s="5" customFormat="1" ht="15.75" customHeight="1">
      <c r="A151" s="13">
        <f t="shared" si="6"/>
        <v>147</v>
      </c>
      <c r="B151" s="25" t="s">
        <v>56</v>
      </c>
      <c r="C151" s="15">
        <v>82</v>
      </c>
      <c r="D151" s="18">
        <f t="shared" si="4"/>
        <v>665.1</v>
      </c>
      <c r="E151" s="18">
        <v>665.1</v>
      </c>
      <c r="F151" s="16">
        <v>392.6</v>
      </c>
      <c r="G151" s="13">
        <f>SUM(H151:I151)</f>
        <v>0</v>
      </c>
      <c r="H151" s="13"/>
      <c r="I151" s="13"/>
      <c r="J151" s="13"/>
      <c r="K151" s="13"/>
    </row>
    <row r="152" spans="1:11" s="5" customFormat="1" ht="15.75" customHeight="1">
      <c r="A152" s="13">
        <f t="shared" si="6"/>
        <v>148</v>
      </c>
      <c r="B152" s="25" t="s">
        <v>56</v>
      </c>
      <c r="C152" s="15" t="s">
        <v>57</v>
      </c>
      <c r="D152" s="18">
        <f t="shared" si="4"/>
        <v>656.5</v>
      </c>
      <c r="E152" s="18">
        <f>656.5-37.6+37.6</f>
        <v>656.5</v>
      </c>
      <c r="F152" s="16">
        <f>394.9-18.8+8.8</f>
        <v>384.9</v>
      </c>
      <c r="G152" s="13">
        <f>SUM(H152:I152)</f>
        <v>0</v>
      </c>
      <c r="H152" s="13"/>
      <c r="I152" s="13"/>
      <c r="J152" s="13"/>
      <c r="K152" s="13"/>
    </row>
    <row r="153" spans="1:11" s="5" customFormat="1" ht="15.75" customHeight="1">
      <c r="A153" s="13">
        <f t="shared" si="6"/>
        <v>149</v>
      </c>
      <c r="B153" s="25" t="s">
        <v>58</v>
      </c>
      <c r="C153" s="19">
        <v>3</v>
      </c>
      <c r="D153" s="18">
        <f t="shared" si="4"/>
        <v>2689.3</v>
      </c>
      <c r="E153" s="18">
        <f>2484.3-57.1</f>
        <v>2427.2000000000003</v>
      </c>
      <c r="F153" s="16">
        <f>1629.1-40.3</f>
        <v>1588.8</v>
      </c>
      <c r="G153" s="13">
        <v>149.7</v>
      </c>
      <c r="H153" s="13"/>
      <c r="I153" s="13"/>
      <c r="J153" s="13">
        <f>55.3+57.1</f>
        <v>112.4</v>
      </c>
      <c r="K153" s="13"/>
    </row>
    <row r="154" spans="1:11" s="5" customFormat="1" ht="15.75" customHeight="1">
      <c r="A154" s="13">
        <f t="shared" si="6"/>
        <v>150</v>
      </c>
      <c r="B154" s="25" t="s">
        <v>58</v>
      </c>
      <c r="C154" s="15">
        <v>6</v>
      </c>
      <c r="D154" s="18">
        <f t="shared" si="4"/>
        <v>2566.8</v>
      </c>
      <c r="E154" s="18">
        <f>2455.7-58.9+27.9</f>
        <v>2424.7</v>
      </c>
      <c r="F154" s="16">
        <f>1446.8-40.6+250.6</f>
        <v>1656.8</v>
      </c>
      <c r="G154" s="13">
        <f>70.9+30.4</f>
        <v>101.30000000000001</v>
      </c>
      <c r="H154" s="13"/>
      <c r="I154" s="13"/>
      <c r="J154" s="13">
        <f>49.2+58.9-67.3</f>
        <v>40.8</v>
      </c>
      <c r="K154" s="13"/>
    </row>
    <row r="155" spans="1:11" s="5" customFormat="1" ht="15.75" customHeight="1">
      <c r="A155" s="13">
        <f t="shared" si="6"/>
        <v>151</v>
      </c>
      <c r="B155" s="25" t="s">
        <v>59</v>
      </c>
      <c r="C155" s="15">
        <v>159</v>
      </c>
      <c r="D155" s="18">
        <f t="shared" si="4"/>
        <v>7789.8</v>
      </c>
      <c r="E155" s="18">
        <f>7666.9-138.5</f>
        <v>7528.4</v>
      </c>
      <c r="F155" s="16">
        <f>4666.5-77.1</f>
        <v>4589.4</v>
      </c>
      <c r="G155" s="13">
        <f>SUM(H155:I155)</f>
        <v>123.3</v>
      </c>
      <c r="H155" s="13">
        <v>123.3</v>
      </c>
      <c r="I155" s="13"/>
      <c r="J155" s="13">
        <f>122.9+15.2</f>
        <v>138.1</v>
      </c>
      <c r="K155" s="13"/>
    </row>
    <row r="156" spans="1:11" s="5" customFormat="1" ht="15.75" customHeight="1">
      <c r="A156" s="13">
        <f t="shared" si="6"/>
        <v>152</v>
      </c>
      <c r="B156" s="25" t="s">
        <v>59</v>
      </c>
      <c r="C156" s="15">
        <v>161</v>
      </c>
      <c r="D156" s="18">
        <f t="shared" si="4"/>
        <v>6090.4</v>
      </c>
      <c r="E156" s="18">
        <f>4615.3-166.3-123.3-69.7</f>
        <v>4256</v>
      </c>
      <c r="F156" s="16">
        <f>2998.2-112.6-92.4-34.5</f>
        <v>2758.7</v>
      </c>
      <c r="G156" s="13">
        <f>166.3+123.3+69.7</f>
        <v>359.3</v>
      </c>
      <c r="H156" s="13"/>
      <c r="I156" s="13"/>
      <c r="J156" s="13">
        <v>238.7</v>
      </c>
      <c r="K156" s="13">
        <v>1236.4</v>
      </c>
    </row>
    <row r="157" spans="1:11" s="5" customFormat="1" ht="15.75" customHeight="1">
      <c r="A157" s="13">
        <f t="shared" si="6"/>
        <v>153</v>
      </c>
      <c r="B157" s="25" t="s">
        <v>59</v>
      </c>
      <c r="C157" s="15">
        <v>163</v>
      </c>
      <c r="D157" s="18">
        <f t="shared" si="4"/>
        <v>6080.5</v>
      </c>
      <c r="E157" s="18">
        <v>5010.9</v>
      </c>
      <c r="F157" s="16">
        <v>3267.5</v>
      </c>
      <c r="G157" s="13">
        <f>SUM(H157:I157)</f>
        <v>508.6</v>
      </c>
      <c r="H157" s="18">
        <v>508.6</v>
      </c>
      <c r="I157" s="18"/>
      <c r="J157" s="13">
        <v>58.8</v>
      </c>
      <c r="K157" s="13">
        <v>502.2</v>
      </c>
    </row>
    <row r="158" spans="1:11" s="5" customFormat="1" ht="15.75" customHeight="1">
      <c r="A158" s="13">
        <f t="shared" si="6"/>
        <v>154</v>
      </c>
      <c r="B158" s="25" t="s">
        <v>59</v>
      </c>
      <c r="C158" s="15">
        <v>165</v>
      </c>
      <c r="D158" s="18">
        <f t="shared" si="4"/>
        <v>3607</v>
      </c>
      <c r="E158" s="18">
        <f>3557.1-30.5-90.5</f>
        <v>3436.1</v>
      </c>
      <c r="F158" s="16">
        <f>2438.3-18.4-63.5</f>
        <v>2356.4</v>
      </c>
      <c r="G158" s="13">
        <f>30.5+90.5</f>
        <v>121</v>
      </c>
      <c r="H158" s="13"/>
      <c r="I158" s="13"/>
      <c r="J158" s="13">
        <v>49.9</v>
      </c>
      <c r="K158" s="13"/>
    </row>
    <row r="159" spans="1:11" s="5" customFormat="1" ht="15.75" customHeight="1">
      <c r="A159" s="13">
        <f t="shared" si="6"/>
        <v>155</v>
      </c>
      <c r="B159" s="25" t="s">
        <v>59</v>
      </c>
      <c r="C159" s="15">
        <v>167</v>
      </c>
      <c r="D159" s="18">
        <f t="shared" si="4"/>
        <v>7707.3</v>
      </c>
      <c r="E159" s="18">
        <f>7583.6+3.5-255.8</f>
        <v>7331.3</v>
      </c>
      <c r="F159" s="16">
        <f>4605.9+1.9-153.5</f>
        <v>4454.299999999999</v>
      </c>
      <c r="G159" s="13">
        <v>255.8</v>
      </c>
      <c r="H159" s="13"/>
      <c r="I159" s="13"/>
      <c r="J159" s="13">
        <v>120.2</v>
      </c>
      <c r="K159" s="13"/>
    </row>
    <row r="160" spans="1:11" s="5" customFormat="1" ht="15.75" customHeight="1">
      <c r="A160" s="13">
        <f t="shared" si="6"/>
        <v>156</v>
      </c>
      <c r="B160" s="25" t="s">
        <v>59</v>
      </c>
      <c r="C160" s="15">
        <v>171</v>
      </c>
      <c r="D160" s="18">
        <f t="shared" si="4"/>
        <v>3919.3999999999996</v>
      </c>
      <c r="E160" s="18">
        <f>3211-46.7-29.8-46</f>
        <v>3088.5</v>
      </c>
      <c r="F160" s="16">
        <f>2079.6-30.6-30</f>
        <v>2019</v>
      </c>
      <c r="G160" s="13">
        <f>SUM(H160:I160)+46.7+46</f>
        <v>334.5</v>
      </c>
      <c r="H160" s="13">
        <v>241.8</v>
      </c>
      <c r="I160" s="13"/>
      <c r="J160" s="13">
        <f>58.4+29.8</f>
        <v>88.2</v>
      </c>
      <c r="K160" s="13">
        <v>408.2</v>
      </c>
    </row>
    <row r="161" spans="1:11" s="5" customFormat="1" ht="15.75" customHeight="1">
      <c r="A161" s="13">
        <f t="shared" si="6"/>
        <v>157</v>
      </c>
      <c r="B161" s="25" t="s">
        <v>25</v>
      </c>
      <c r="C161" s="19">
        <v>3</v>
      </c>
      <c r="D161" s="18">
        <f t="shared" si="4"/>
        <v>4885.799999999999</v>
      </c>
      <c r="E161" s="18">
        <v>4345.9</v>
      </c>
      <c r="F161" s="16">
        <v>2989.6</v>
      </c>
      <c r="G161" s="13">
        <v>539.9</v>
      </c>
      <c r="H161" s="13"/>
      <c r="I161" s="13"/>
      <c r="J161" s="13"/>
      <c r="K161" s="13"/>
    </row>
    <row r="162" spans="1:11" s="5" customFormat="1" ht="15.75" customHeight="1">
      <c r="A162" s="13">
        <f t="shared" si="6"/>
        <v>158</v>
      </c>
      <c r="B162" s="25" t="s">
        <v>25</v>
      </c>
      <c r="C162" s="15">
        <v>5</v>
      </c>
      <c r="D162" s="18">
        <f t="shared" si="4"/>
        <v>4449.2</v>
      </c>
      <c r="E162" s="18">
        <v>4386.4</v>
      </c>
      <c r="F162" s="16">
        <v>3020.3</v>
      </c>
      <c r="G162" s="13">
        <f>SUM(H162:I162)</f>
        <v>0</v>
      </c>
      <c r="H162" s="13"/>
      <c r="I162" s="13"/>
      <c r="J162" s="13">
        <v>62.8</v>
      </c>
      <c r="K162" s="13"/>
    </row>
    <row r="163" spans="1:11" s="5" customFormat="1" ht="15.75" customHeight="1">
      <c r="A163" s="13">
        <f t="shared" si="6"/>
        <v>159</v>
      </c>
      <c r="B163" s="25" t="s">
        <v>25</v>
      </c>
      <c r="C163" s="15">
        <v>7</v>
      </c>
      <c r="D163" s="18">
        <f t="shared" si="4"/>
        <v>4465.1</v>
      </c>
      <c r="E163" s="18">
        <v>4418.1</v>
      </c>
      <c r="F163" s="16">
        <v>3034.6</v>
      </c>
      <c r="G163" s="13">
        <f>SUM(H163:I163)</f>
        <v>0</v>
      </c>
      <c r="H163" s="13"/>
      <c r="I163" s="13"/>
      <c r="J163" s="13">
        <v>47</v>
      </c>
      <c r="K163" s="13"/>
    </row>
    <row r="164" spans="1:11" s="5" customFormat="1" ht="15.75" customHeight="1">
      <c r="A164" s="13">
        <f t="shared" si="6"/>
        <v>160</v>
      </c>
      <c r="B164" s="25" t="s">
        <v>25</v>
      </c>
      <c r="C164" s="15">
        <v>9</v>
      </c>
      <c r="D164" s="18">
        <f t="shared" si="4"/>
        <v>4432.599999999999</v>
      </c>
      <c r="E164" s="18">
        <v>4391.7</v>
      </c>
      <c r="F164" s="16">
        <v>3023.1</v>
      </c>
      <c r="G164" s="13">
        <f>SUM(H164:I164)</f>
        <v>0</v>
      </c>
      <c r="H164" s="13"/>
      <c r="I164" s="13"/>
      <c r="J164" s="13">
        <v>40.9</v>
      </c>
      <c r="K164" s="13"/>
    </row>
    <row r="165" spans="1:11" s="5" customFormat="1" ht="15.75" customHeight="1">
      <c r="A165" s="13">
        <f t="shared" si="6"/>
        <v>161</v>
      </c>
      <c r="B165" s="25" t="s">
        <v>25</v>
      </c>
      <c r="C165" s="15">
        <v>17</v>
      </c>
      <c r="D165" s="18">
        <f t="shared" si="4"/>
        <v>5219.900000000001</v>
      </c>
      <c r="E165" s="18">
        <f>5174.7-59-68.9-61.6-58.7</f>
        <v>4926.5</v>
      </c>
      <c r="F165" s="16">
        <f>3693.9-38-59.9-45.5-46.5</f>
        <v>3504</v>
      </c>
      <c r="G165" s="13">
        <f>59+57+61.1+58.7</f>
        <v>235.8</v>
      </c>
      <c r="H165" s="13"/>
      <c r="I165" s="13"/>
      <c r="J165" s="13">
        <v>57.6</v>
      </c>
      <c r="K165" s="13"/>
    </row>
    <row r="166" spans="1:11" s="5" customFormat="1" ht="15.75" customHeight="1">
      <c r="A166" s="13">
        <f t="shared" si="6"/>
        <v>162</v>
      </c>
      <c r="B166" s="25" t="s">
        <v>25</v>
      </c>
      <c r="C166" s="15">
        <v>19</v>
      </c>
      <c r="D166" s="18">
        <f t="shared" si="4"/>
        <v>5811.8</v>
      </c>
      <c r="E166" s="18">
        <v>4973.3</v>
      </c>
      <c r="F166" s="16">
        <v>3226.2</v>
      </c>
      <c r="G166" s="13">
        <f>231.6+249.5+251.9</f>
        <v>733</v>
      </c>
      <c r="H166" s="13"/>
      <c r="I166" s="13"/>
      <c r="J166" s="13">
        <f>105.5</f>
        <v>105.5</v>
      </c>
      <c r="K166" s="13"/>
    </row>
    <row r="167" spans="1:11" s="5" customFormat="1" ht="15.75" customHeight="1">
      <c r="A167" s="13">
        <f t="shared" si="6"/>
        <v>163</v>
      </c>
      <c r="B167" s="25" t="s">
        <v>25</v>
      </c>
      <c r="C167" s="15">
        <v>21</v>
      </c>
      <c r="D167" s="18">
        <f t="shared" si="4"/>
        <v>3679.9</v>
      </c>
      <c r="E167" s="18">
        <f>3352.2-61.7-72.6</f>
        <v>3217.9</v>
      </c>
      <c r="F167" s="16">
        <f>2343.5-42-59</f>
        <v>2242.5</v>
      </c>
      <c r="G167" s="13">
        <f>106.7+72.6+62.6+188.9</f>
        <v>430.8</v>
      </c>
      <c r="H167" s="13">
        <f>45+61.7</f>
        <v>106.7</v>
      </c>
      <c r="I167" s="13"/>
      <c r="J167" s="13">
        <v>31.2</v>
      </c>
      <c r="K167" s="13"/>
    </row>
    <row r="168" spans="1:11" s="5" customFormat="1" ht="15.75" customHeight="1">
      <c r="A168" s="13">
        <f t="shared" si="6"/>
        <v>164</v>
      </c>
      <c r="B168" s="25" t="s">
        <v>25</v>
      </c>
      <c r="C168" s="15" t="s">
        <v>60</v>
      </c>
      <c r="D168" s="18">
        <f t="shared" si="4"/>
        <v>2593.0000000000005</v>
      </c>
      <c r="E168" s="18">
        <v>2143.3</v>
      </c>
      <c r="F168" s="16">
        <v>1187.4</v>
      </c>
      <c r="G168" s="13">
        <v>400.8</v>
      </c>
      <c r="H168" s="13"/>
      <c r="I168" s="13"/>
      <c r="J168" s="13">
        <v>48.9</v>
      </c>
      <c r="K168" s="13"/>
    </row>
    <row r="169" spans="1:11" s="5" customFormat="1" ht="15.75" customHeight="1">
      <c r="A169" s="13">
        <f t="shared" si="6"/>
        <v>165</v>
      </c>
      <c r="B169" s="25" t="s">
        <v>42</v>
      </c>
      <c r="C169" s="26">
        <v>59</v>
      </c>
      <c r="D169" s="18">
        <f t="shared" si="4"/>
        <v>7396.299999999999</v>
      </c>
      <c r="E169" s="27">
        <f>4357.9-17.7</f>
        <v>4340.2</v>
      </c>
      <c r="F169" s="28">
        <f>3441.3-11.8</f>
        <v>3429.5</v>
      </c>
      <c r="G169" s="28">
        <f>474.8+17.7</f>
        <v>492.5</v>
      </c>
      <c r="H169" s="28"/>
      <c r="I169" s="28"/>
      <c r="J169" s="28">
        <v>2563.6</v>
      </c>
      <c r="K169" s="26"/>
    </row>
    <row r="170" spans="1:11" s="5" customFormat="1" ht="15.75" customHeight="1">
      <c r="A170" s="13">
        <f t="shared" si="6"/>
        <v>166</v>
      </c>
      <c r="B170" s="25" t="s">
        <v>42</v>
      </c>
      <c r="C170" s="19">
        <v>63</v>
      </c>
      <c r="D170" s="18">
        <f t="shared" si="4"/>
        <v>12564.9</v>
      </c>
      <c r="E170" s="29">
        <f>11172.2-32.2-0.5-0.4</f>
        <v>11139.1</v>
      </c>
      <c r="F170" s="16">
        <f>7104.7-15.4</f>
        <v>7089.3</v>
      </c>
      <c r="G170" s="13">
        <f>1157.4+67.6</f>
        <v>1225</v>
      </c>
      <c r="H170" s="13"/>
      <c r="I170" s="13"/>
      <c r="J170" s="13">
        <f>33.2+51.6+150.9+32.2-67.1</f>
        <v>200.80000000000004</v>
      </c>
      <c r="K170" s="13"/>
    </row>
    <row r="171" spans="1:11" s="5" customFormat="1" ht="15.75" customHeight="1">
      <c r="A171" s="13">
        <f t="shared" si="6"/>
        <v>167</v>
      </c>
      <c r="B171" s="25" t="s">
        <v>42</v>
      </c>
      <c r="C171" s="19">
        <v>65</v>
      </c>
      <c r="D171" s="18">
        <f t="shared" si="4"/>
        <v>10418.1</v>
      </c>
      <c r="E171" s="29">
        <f>8967-123.4+0.4-53.5</f>
        <v>8790.5</v>
      </c>
      <c r="F171" s="13">
        <f>5608.4-72.9-37.4</f>
        <v>5498.1</v>
      </c>
      <c r="G171" s="13">
        <f>1277.7+123.4+2.3+53.5</f>
        <v>1456.9</v>
      </c>
      <c r="H171" s="13"/>
      <c r="I171" s="13"/>
      <c r="J171" s="13">
        <v>170.7</v>
      </c>
      <c r="K171" s="13"/>
    </row>
    <row r="172" spans="1:11" s="5" customFormat="1" ht="15.75" customHeight="1">
      <c r="A172" s="13">
        <f t="shared" si="6"/>
        <v>168</v>
      </c>
      <c r="B172" s="25" t="s">
        <v>42</v>
      </c>
      <c r="C172" s="19">
        <v>66</v>
      </c>
      <c r="D172" s="18">
        <f t="shared" si="4"/>
        <v>5276.6</v>
      </c>
      <c r="E172" s="29">
        <v>5276.6</v>
      </c>
      <c r="F172" s="13"/>
      <c r="G172" s="13"/>
      <c r="H172" s="13"/>
      <c r="I172" s="13"/>
      <c r="J172" s="13"/>
      <c r="K172" s="13"/>
    </row>
    <row r="173" spans="1:11" s="5" customFormat="1" ht="15.75" customHeight="1">
      <c r="A173" s="13">
        <f t="shared" si="6"/>
        <v>169</v>
      </c>
      <c r="B173" s="25" t="s">
        <v>42</v>
      </c>
      <c r="C173" s="19">
        <v>68</v>
      </c>
      <c r="D173" s="18">
        <f t="shared" si="4"/>
        <v>2408.5</v>
      </c>
      <c r="E173" s="29">
        <f>2383.3-36.1</f>
        <v>2347.2000000000003</v>
      </c>
      <c r="F173" s="13">
        <f>1278.2-18.7</f>
        <v>1259.5</v>
      </c>
      <c r="G173" s="13">
        <f>SUM(H173:I173)+36.1</f>
        <v>36.1</v>
      </c>
      <c r="H173" s="13"/>
      <c r="I173" s="13"/>
      <c r="J173" s="13">
        <v>25.2</v>
      </c>
      <c r="K173" s="13"/>
    </row>
    <row r="174" spans="1:11" s="5" customFormat="1" ht="15.75" customHeight="1">
      <c r="A174" s="13">
        <f t="shared" si="6"/>
        <v>170</v>
      </c>
      <c r="B174" s="25" t="s">
        <v>42</v>
      </c>
      <c r="C174" s="19">
        <v>70</v>
      </c>
      <c r="D174" s="18">
        <f t="shared" si="4"/>
        <v>12089</v>
      </c>
      <c r="E174" s="29">
        <f>11919.7+21.4-50.2</f>
        <v>11890.9</v>
      </c>
      <c r="F174" s="16">
        <f>7326.8-29.5</f>
        <v>7297.3</v>
      </c>
      <c r="G174" s="13">
        <v>50.2</v>
      </c>
      <c r="H174" s="13"/>
      <c r="I174" s="13"/>
      <c r="J174" s="13">
        <f>169.3-21.4</f>
        <v>147.9</v>
      </c>
      <c r="K174" s="13"/>
    </row>
    <row r="175" spans="1:11" s="5" customFormat="1" ht="15.75" customHeight="1">
      <c r="A175" s="13">
        <f t="shared" si="6"/>
        <v>171</v>
      </c>
      <c r="B175" s="25" t="s">
        <v>42</v>
      </c>
      <c r="C175" s="19" t="s">
        <v>61</v>
      </c>
      <c r="D175" s="18">
        <f t="shared" si="4"/>
        <v>11231.099999999999</v>
      </c>
      <c r="E175" s="29">
        <v>11114.3</v>
      </c>
      <c r="F175" s="13">
        <v>6902.9</v>
      </c>
      <c r="G175" s="13">
        <f aca="true" t="shared" si="7" ref="G175:G181">SUM(H175:I175)</f>
        <v>0</v>
      </c>
      <c r="H175" s="13"/>
      <c r="I175" s="13"/>
      <c r="J175" s="13">
        <v>116.8</v>
      </c>
      <c r="K175" s="13"/>
    </row>
    <row r="176" spans="1:11" s="5" customFormat="1" ht="15.75" customHeight="1">
      <c r="A176" s="13">
        <f t="shared" si="6"/>
        <v>172</v>
      </c>
      <c r="B176" s="25" t="s">
        <v>42</v>
      </c>
      <c r="C176" s="19" t="s">
        <v>62</v>
      </c>
      <c r="D176" s="18">
        <f t="shared" si="4"/>
        <v>6469.2</v>
      </c>
      <c r="E176" s="29">
        <f>6403+3.2</f>
        <v>6406.2</v>
      </c>
      <c r="F176" s="13">
        <v>3944</v>
      </c>
      <c r="G176" s="13">
        <f t="shared" si="7"/>
        <v>0</v>
      </c>
      <c r="H176" s="13"/>
      <c r="I176" s="13"/>
      <c r="J176" s="13">
        <v>63</v>
      </c>
      <c r="K176" s="13"/>
    </row>
    <row r="177" spans="1:11" s="5" customFormat="1" ht="15.75" customHeight="1">
      <c r="A177" s="13">
        <f t="shared" si="6"/>
        <v>173</v>
      </c>
      <c r="B177" s="25" t="s">
        <v>42</v>
      </c>
      <c r="C177" s="19" t="s">
        <v>63</v>
      </c>
      <c r="D177" s="18">
        <f t="shared" si="4"/>
        <v>2398.5</v>
      </c>
      <c r="E177" s="29">
        <v>2383.3</v>
      </c>
      <c r="F177" s="13">
        <v>1268.2</v>
      </c>
      <c r="G177" s="13">
        <f t="shared" si="7"/>
        <v>0</v>
      </c>
      <c r="H177" s="13"/>
      <c r="I177" s="13"/>
      <c r="J177" s="13">
        <v>15.2</v>
      </c>
      <c r="K177" s="13"/>
    </row>
    <row r="178" spans="1:11" s="5" customFormat="1" ht="15.75" customHeight="1">
      <c r="A178" s="13">
        <f t="shared" si="6"/>
        <v>174</v>
      </c>
      <c r="B178" s="25" t="s">
        <v>42</v>
      </c>
      <c r="C178" s="19" t="s">
        <v>64</v>
      </c>
      <c r="D178" s="18">
        <f t="shared" si="4"/>
        <v>11575.6</v>
      </c>
      <c r="E178" s="29">
        <v>9973.1</v>
      </c>
      <c r="F178" s="13">
        <v>6179.4</v>
      </c>
      <c r="G178" s="13">
        <f t="shared" si="7"/>
        <v>1427.3999999999999</v>
      </c>
      <c r="H178" s="13">
        <v>1410.8</v>
      </c>
      <c r="I178" s="13">
        <v>16.6</v>
      </c>
      <c r="J178" s="13">
        <v>175.1</v>
      </c>
      <c r="K178" s="13"/>
    </row>
    <row r="179" spans="1:11" s="5" customFormat="1" ht="15.75" customHeight="1">
      <c r="A179" s="13">
        <f t="shared" si="6"/>
        <v>175</v>
      </c>
      <c r="B179" s="25" t="s">
        <v>65</v>
      </c>
      <c r="C179" s="19">
        <v>38</v>
      </c>
      <c r="D179" s="18">
        <f t="shared" si="4"/>
        <v>5473.599999999999</v>
      </c>
      <c r="E179" s="29">
        <f>5429.8+0.9</f>
        <v>5430.7</v>
      </c>
      <c r="F179" s="13">
        <v>3584.2</v>
      </c>
      <c r="G179" s="13">
        <f t="shared" si="7"/>
        <v>0</v>
      </c>
      <c r="H179" s="13"/>
      <c r="I179" s="13"/>
      <c r="J179" s="13">
        <v>42.9</v>
      </c>
      <c r="K179" s="13"/>
    </row>
    <row r="180" spans="1:11" s="5" customFormat="1" ht="15.75" customHeight="1">
      <c r="A180" s="13">
        <f t="shared" si="6"/>
        <v>176</v>
      </c>
      <c r="B180" s="25" t="s">
        <v>56</v>
      </c>
      <c r="C180" s="19">
        <v>51</v>
      </c>
      <c r="D180" s="18">
        <f t="shared" si="4"/>
        <v>11713.000000000002</v>
      </c>
      <c r="E180" s="29">
        <f>11508.6+50.7</f>
        <v>11559.300000000001</v>
      </c>
      <c r="F180" s="13">
        <f>6961.2+50.7</f>
        <v>7011.9</v>
      </c>
      <c r="G180" s="13">
        <f t="shared" si="7"/>
        <v>0</v>
      </c>
      <c r="H180" s="13"/>
      <c r="I180" s="13"/>
      <c r="J180" s="21">
        <f>204.4-50.7</f>
        <v>153.7</v>
      </c>
      <c r="K180" s="13"/>
    </row>
    <row r="181" spans="1:11" s="5" customFormat="1" ht="15.75" customHeight="1">
      <c r="A181" s="13">
        <f t="shared" si="6"/>
        <v>177</v>
      </c>
      <c r="B181" s="25" t="s">
        <v>56</v>
      </c>
      <c r="C181" s="19">
        <v>55</v>
      </c>
      <c r="D181" s="18">
        <f t="shared" si="4"/>
        <v>4401.900000000001</v>
      </c>
      <c r="E181" s="29">
        <f>4000.9-28.6</f>
        <v>3972.3</v>
      </c>
      <c r="F181" s="13">
        <f>2629.7-16</f>
        <v>2613.7</v>
      </c>
      <c r="G181" s="13">
        <f t="shared" si="7"/>
        <v>336.8</v>
      </c>
      <c r="H181" s="13">
        <v>336.8</v>
      </c>
      <c r="I181" s="13"/>
      <c r="J181" s="13">
        <f>64.2+28.6</f>
        <v>92.80000000000001</v>
      </c>
      <c r="K181" s="13"/>
    </row>
    <row r="182" spans="1:11" s="5" customFormat="1" ht="15.75" customHeight="1">
      <c r="A182" s="13">
        <f t="shared" si="6"/>
        <v>178</v>
      </c>
      <c r="B182" s="25" t="s">
        <v>56</v>
      </c>
      <c r="C182" s="15">
        <v>56</v>
      </c>
      <c r="D182" s="18">
        <f t="shared" si="4"/>
        <v>3776.2</v>
      </c>
      <c r="E182" s="29">
        <f>3427.7-63.3</f>
        <v>3364.3999999999996</v>
      </c>
      <c r="F182" s="13">
        <f>2296.2-44.2</f>
        <v>2252</v>
      </c>
      <c r="G182" s="13">
        <f>290.7+63.3</f>
        <v>354</v>
      </c>
      <c r="H182" s="13">
        <v>290.7</v>
      </c>
      <c r="I182" s="13"/>
      <c r="J182" s="13">
        <v>57.8</v>
      </c>
      <c r="K182" s="13"/>
    </row>
    <row r="183" spans="1:11" s="5" customFormat="1" ht="15.75" customHeight="1">
      <c r="A183" s="13">
        <f t="shared" si="6"/>
        <v>179</v>
      </c>
      <c r="B183" s="25" t="s">
        <v>56</v>
      </c>
      <c r="C183" s="19">
        <v>57</v>
      </c>
      <c r="D183" s="18">
        <f t="shared" si="4"/>
        <v>4812.400000000001</v>
      </c>
      <c r="E183" s="29">
        <f>3060+1273.8+43.4</f>
        <v>4377.2</v>
      </c>
      <c r="F183" s="16">
        <v>3014.6</v>
      </c>
      <c r="G183" s="13">
        <v>352.6</v>
      </c>
      <c r="H183" s="13"/>
      <c r="I183" s="13"/>
      <c r="J183" s="13">
        <f>142.6-60</f>
        <v>82.6</v>
      </c>
      <c r="K183" s="13"/>
    </row>
    <row r="184" spans="1:11" s="5" customFormat="1" ht="15.75" customHeight="1">
      <c r="A184" s="13">
        <f t="shared" si="6"/>
        <v>180</v>
      </c>
      <c r="B184" s="25" t="s">
        <v>56</v>
      </c>
      <c r="C184" s="19">
        <v>58</v>
      </c>
      <c r="D184" s="18">
        <f t="shared" si="4"/>
        <v>6351.87</v>
      </c>
      <c r="E184" s="29">
        <f>3953.87+1759</f>
        <v>5712.87</v>
      </c>
      <c r="F184" s="16">
        <v>3950.7</v>
      </c>
      <c r="G184" s="13">
        <v>576</v>
      </c>
      <c r="H184" s="13"/>
      <c r="I184" s="13"/>
      <c r="J184" s="13">
        <v>63</v>
      </c>
      <c r="K184" s="13"/>
    </row>
    <row r="185" spans="1:11" s="5" customFormat="1" ht="15.75" customHeight="1">
      <c r="A185" s="13">
        <f t="shared" si="6"/>
        <v>181</v>
      </c>
      <c r="B185" s="25" t="s">
        <v>56</v>
      </c>
      <c r="C185" s="19">
        <v>59</v>
      </c>
      <c r="D185" s="18">
        <f t="shared" si="4"/>
        <v>4462.5</v>
      </c>
      <c r="E185" s="29">
        <f>3060+1340.3-61.1</f>
        <v>4339.2</v>
      </c>
      <c r="F185" s="16">
        <f>3042.3-44.8</f>
        <v>2997.5</v>
      </c>
      <c r="G185" s="13">
        <v>61.1</v>
      </c>
      <c r="H185" s="13"/>
      <c r="I185" s="13"/>
      <c r="J185" s="13">
        <v>62.2</v>
      </c>
      <c r="K185" s="13"/>
    </row>
    <row r="186" spans="1:11" s="5" customFormat="1" ht="15.75" customHeight="1">
      <c r="A186" s="13">
        <f t="shared" si="6"/>
        <v>182</v>
      </c>
      <c r="B186" s="25" t="s">
        <v>59</v>
      </c>
      <c r="C186" s="19">
        <v>63</v>
      </c>
      <c r="D186" s="18">
        <f t="shared" si="4"/>
        <v>17086.8</v>
      </c>
      <c r="E186" s="29">
        <f>13702.5+0.9+3.3</f>
        <v>13706.699999999999</v>
      </c>
      <c r="F186" s="13">
        <v>8712.2</v>
      </c>
      <c r="G186" s="13">
        <v>3181.6</v>
      </c>
      <c r="H186" s="13"/>
      <c r="I186" s="13"/>
      <c r="J186" s="13">
        <f>97.9+100.6</f>
        <v>198.5</v>
      </c>
      <c r="K186" s="13"/>
    </row>
    <row r="187" spans="1:11" s="5" customFormat="1" ht="15.75" customHeight="1">
      <c r="A187" s="13">
        <f t="shared" si="6"/>
        <v>183</v>
      </c>
      <c r="B187" s="25" t="s">
        <v>59</v>
      </c>
      <c r="C187" s="19">
        <v>65</v>
      </c>
      <c r="D187" s="18">
        <f t="shared" si="4"/>
        <v>3568.9</v>
      </c>
      <c r="E187" s="29">
        <v>3199.1</v>
      </c>
      <c r="F187" s="13">
        <v>2145.2</v>
      </c>
      <c r="G187" s="13">
        <f>SUM(H187:I187)</f>
        <v>306</v>
      </c>
      <c r="H187" s="13">
        <v>306</v>
      </c>
      <c r="I187" s="13"/>
      <c r="J187" s="13">
        <v>63.8</v>
      </c>
      <c r="K187" s="13"/>
    </row>
    <row r="188" spans="1:11" s="5" customFormat="1" ht="15.75" customHeight="1">
      <c r="A188" s="13">
        <f t="shared" si="6"/>
        <v>184</v>
      </c>
      <c r="B188" s="25" t="s">
        <v>59</v>
      </c>
      <c r="C188" s="19">
        <v>71</v>
      </c>
      <c r="D188" s="18">
        <f aca="true" t="shared" si="8" ref="D188:D233">SUM(E188+G188+J188+K188)</f>
        <v>4858</v>
      </c>
      <c r="E188" s="29">
        <f>4808.1-29.4</f>
        <v>4778.700000000001</v>
      </c>
      <c r="F188" s="13">
        <f>2563.1-15.2</f>
        <v>2547.9</v>
      </c>
      <c r="G188" s="13">
        <v>29.4</v>
      </c>
      <c r="H188" s="13"/>
      <c r="I188" s="13"/>
      <c r="J188" s="13">
        <v>49.9</v>
      </c>
      <c r="K188" s="13"/>
    </row>
    <row r="189" spans="1:11" s="5" customFormat="1" ht="15.75" customHeight="1">
      <c r="A189" s="13">
        <f t="shared" si="6"/>
        <v>185</v>
      </c>
      <c r="B189" s="25" t="s">
        <v>59</v>
      </c>
      <c r="C189" s="19">
        <v>73</v>
      </c>
      <c r="D189" s="18">
        <f t="shared" si="8"/>
        <v>7082.099999999999</v>
      </c>
      <c r="E189" s="29">
        <v>6963.9</v>
      </c>
      <c r="F189" s="13">
        <v>3836.3</v>
      </c>
      <c r="G189" s="13">
        <f>SUM(H189:I189)</f>
        <v>0</v>
      </c>
      <c r="H189" s="13"/>
      <c r="I189" s="13"/>
      <c r="J189" s="13">
        <v>118.2</v>
      </c>
      <c r="K189" s="13"/>
    </row>
    <row r="190" spans="1:11" s="5" customFormat="1" ht="15.75" customHeight="1">
      <c r="A190" s="13">
        <f t="shared" si="6"/>
        <v>186</v>
      </c>
      <c r="B190" s="25" t="s">
        <v>59</v>
      </c>
      <c r="C190" s="15" t="s">
        <v>66</v>
      </c>
      <c r="D190" s="18">
        <f t="shared" si="8"/>
        <v>13501.300000000001</v>
      </c>
      <c r="E190" s="29">
        <v>11097.2</v>
      </c>
      <c r="F190" s="16">
        <v>7189.1</v>
      </c>
      <c r="G190" s="13">
        <f>335.4+2004.1</f>
        <v>2339.5</v>
      </c>
      <c r="H190" s="13"/>
      <c r="I190" s="13"/>
      <c r="J190" s="13">
        <f>14+50.6</f>
        <v>64.6</v>
      </c>
      <c r="K190" s="13"/>
    </row>
    <row r="191" spans="1:11" s="5" customFormat="1" ht="15.75" customHeight="1">
      <c r="A191" s="13">
        <f t="shared" si="6"/>
        <v>187</v>
      </c>
      <c r="B191" s="25" t="s">
        <v>59</v>
      </c>
      <c r="C191" s="19" t="s">
        <v>67</v>
      </c>
      <c r="D191" s="18">
        <f t="shared" si="8"/>
        <v>2438.8</v>
      </c>
      <c r="E191" s="29">
        <f>2363.3+21.3</f>
        <v>2384.6000000000004</v>
      </c>
      <c r="F191" s="13">
        <v>1281.5</v>
      </c>
      <c r="G191" s="13">
        <f>SUM(H191:I191)</f>
        <v>0</v>
      </c>
      <c r="H191" s="13"/>
      <c r="I191" s="13"/>
      <c r="J191" s="13">
        <v>54.2</v>
      </c>
      <c r="K191" s="13"/>
    </row>
    <row r="192" spans="1:11" s="5" customFormat="1" ht="15.75" customHeight="1">
      <c r="A192" s="13">
        <f t="shared" si="6"/>
        <v>188</v>
      </c>
      <c r="B192" s="25" t="s">
        <v>25</v>
      </c>
      <c r="C192" s="19">
        <v>24</v>
      </c>
      <c r="D192" s="18">
        <f t="shared" si="8"/>
        <v>8625.000000000002</v>
      </c>
      <c r="E192" s="29">
        <f>8493.2+12.2</f>
        <v>8505.400000000001</v>
      </c>
      <c r="F192" s="13">
        <v>4635</v>
      </c>
      <c r="G192" s="13">
        <f>SUM(H192:I192)</f>
        <v>0</v>
      </c>
      <c r="H192" s="13"/>
      <c r="I192" s="13"/>
      <c r="J192" s="13">
        <f>131.8-12.2</f>
        <v>119.60000000000001</v>
      </c>
      <c r="K192" s="13"/>
    </row>
    <row r="193" spans="1:11" s="5" customFormat="1" ht="15.75" customHeight="1">
      <c r="A193" s="13">
        <f t="shared" si="6"/>
        <v>189</v>
      </c>
      <c r="B193" s="25" t="s">
        <v>25</v>
      </c>
      <c r="C193" s="19">
        <v>26</v>
      </c>
      <c r="D193" s="18">
        <f t="shared" si="8"/>
        <v>7276.5</v>
      </c>
      <c r="E193" s="29">
        <f>7034.1-1+2.4</f>
        <v>7035.5</v>
      </c>
      <c r="F193" s="13">
        <f>3854.8-1.6</f>
        <v>3853.2000000000003</v>
      </c>
      <c r="G193" s="13">
        <f>SUM(H193:I193)</f>
        <v>136.7</v>
      </c>
      <c r="H193" s="13">
        <v>32.4</v>
      </c>
      <c r="I193" s="13">
        <v>104.3</v>
      </c>
      <c r="J193" s="13">
        <v>104.3</v>
      </c>
      <c r="K193" s="13"/>
    </row>
    <row r="194" spans="1:11" s="5" customFormat="1" ht="15.75" customHeight="1">
      <c r="A194" s="13">
        <f t="shared" si="6"/>
        <v>190</v>
      </c>
      <c r="B194" s="30" t="s">
        <v>68</v>
      </c>
      <c r="C194" s="26">
        <v>28</v>
      </c>
      <c r="D194" s="18">
        <f t="shared" si="8"/>
        <v>7036.9</v>
      </c>
      <c r="E194" s="27">
        <v>4516.2</v>
      </c>
      <c r="F194" s="28">
        <v>3147.1</v>
      </c>
      <c r="G194" s="28">
        <f>672.6+14.3</f>
        <v>686.9</v>
      </c>
      <c r="H194" s="28"/>
      <c r="I194" s="28"/>
      <c r="J194" s="28">
        <v>1833.8</v>
      </c>
      <c r="K194" s="26"/>
    </row>
    <row r="195" spans="1:11" s="5" customFormat="1" ht="15.75" customHeight="1">
      <c r="A195" s="13">
        <f t="shared" si="6"/>
        <v>191</v>
      </c>
      <c r="B195" s="25" t="s">
        <v>69</v>
      </c>
      <c r="C195" s="19">
        <v>12</v>
      </c>
      <c r="D195" s="18">
        <f t="shared" si="8"/>
        <v>397.6</v>
      </c>
      <c r="E195" s="13">
        <v>397.6</v>
      </c>
      <c r="F195" s="13">
        <v>279.8</v>
      </c>
      <c r="G195" s="13">
        <v>0</v>
      </c>
      <c r="H195" s="13"/>
      <c r="I195" s="13"/>
      <c r="J195" s="13"/>
      <c r="K195" s="13"/>
    </row>
    <row r="196" spans="1:11" s="5" customFormat="1" ht="15.75" customHeight="1">
      <c r="A196" s="13">
        <f t="shared" si="6"/>
        <v>192</v>
      </c>
      <c r="B196" s="25" t="s">
        <v>70</v>
      </c>
      <c r="C196" s="19">
        <v>26</v>
      </c>
      <c r="D196" s="18">
        <f t="shared" si="8"/>
        <v>407.1</v>
      </c>
      <c r="E196" s="13">
        <v>407.1</v>
      </c>
      <c r="F196" s="13">
        <v>291.9</v>
      </c>
      <c r="G196" s="13">
        <v>0</v>
      </c>
      <c r="H196" s="13"/>
      <c r="I196" s="13"/>
      <c r="J196" s="13"/>
      <c r="K196" s="13"/>
    </row>
    <row r="197" spans="1:11" s="5" customFormat="1" ht="15.75" customHeight="1">
      <c r="A197" s="13">
        <f t="shared" si="6"/>
        <v>193</v>
      </c>
      <c r="B197" s="25" t="s">
        <v>70</v>
      </c>
      <c r="C197" s="19">
        <v>32</v>
      </c>
      <c r="D197" s="18">
        <f t="shared" si="8"/>
        <v>2284.5</v>
      </c>
      <c r="E197" s="18">
        <f>2224.5+2.6</f>
        <v>2227.1</v>
      </c>
      <c r="F197" s="18">
        <v>1449.8</v>
      </c>
      <c r="G197" s="13">
        <v>0</v>
      </c>
      <c r="H197" s="21">
        <f>783.3-783.3</f>
        <v>0</v>
      </c>
      <c r="I197" s="13"/>
      <c r="J197" s="13">
        <v>57.4</v>
      </c>
      <c r="K197" s="13"/>
    </row>
    <row r="198" spans="1:11" s="5" customFormat="1" ht="15.75" customHeight="1">
      <c r="A198" s="13">
        <f aca="true" t="shared" si="9" ref="A198:A261">A197+1</f>
        <v>194</v>
      </c>
      <c r="B198" s="25" t="s">
        <v>70</v>
      </c>
      <c r="C198" s="15">
        <v>34</v>
      </c>
      <c r="D198" s="18">
        <f t="shared" si="8"/>
        <v>3075.7999999999997</v>
      </c>
      <c r="E198" s="13">
        <v>2014.9</v>
      </c>
      <c r="F198" s="13">
        <v>1334.7</v>
      </c>
      <c r="G198" s="13">
        <v>991.3</v>
      </c>
      <c r="H198" s="13"/>
      <c r="I198" s="13"/>
      <c r="J198" s="13">
        <v>69.6</v>
      </c>
      <c r="K198" s="13"/>
    </row>
    <row r="199" spans="1:11" s="5" customFormat="1" ht="15.75" customHeight="1">
      <c r="A199" s="13">
        <f t="shared" si="9"/>
        <v>195</v>
      </c>
      <c r="B199" s="25" t="s">
        <v>70</v>
      </c>
      <c r="C199" s="19" t="s">
        <v>71</v>
      </c>
      <c r="D199" s="18">
        <f t="shared" si="8"/>
        <v>3834.3999999999996</v>
      </c>
      <c r="E199" s="13">
        <v>3536.7</v>
      </c>
      <c r="F199" s="13">
        <v>2409.9</v>
      </c>
      <c r="G199" s="13">
        <v>0</v>
      </c>
      <c r="H199" s="13"/>
      <c r="I199" s="13"/>
      <c r="J199" s="13"/>
      <c r="K199" s="13">
        <v>297.7</v>
      </c>
    </row>
    <row r="200" spans="1:11" s="5" customFormat="1" ht="15.75" customHeight="1">
      <c r="A200" s="13">
        <f t="shared" si="9"/>
        <v>196</v>
      </c>
      <c r="B200" s="25" t="s">
        <v>70</v>
      </c>
      <c r="C200" s="19" t="s">
        <v>72</v>
      </c>
      <c r="D200" s="18">
        <f t="shared" si="8"/>
        <v>400.1</v>
      </c>
      <c r="E200" s="13">
        <v>400.1</v>
      </c>
      <c r="F200" s="13">
        <v>285.6</v>
      </c>
      <c r="G200" s="13">
        <v>0</v>
      </c>
      <c r="H200" s="13"/>
      <c r="I200" s="13"/>
      <c r="J200" s="13"/>
      <c r="K200" s="13"/>
    </row>
    <row r="201" spans="1:11" s="5" customFormat="1" ht="15.75" customHeight="1">
      <c r="A201" s="13">
        <f t="shared" si="9"/>
        <v>197</v>
      </c>
      <c r="B201" s="25" t="s">
        <v>70</v>
      </c>
      <c r="C201" s="19" t="s">
        <v>73</v>
      </c>
      <c r="D201" s="18">
        <f t="shared" si="8"/>
        <v>3166.3</v>
      </c>
      <c r="E201" s="13">
        <v>2534.9</v>
      </c>
      <c r="F201" s="13">
        <v>1641</v>
      </c>
      <c r="G201" s="13">
        <f>129+248.1</f>
        <v>377.1</v>
      </c>
      <c r="H201" s="13">
        <v>129</v>
      </c>
      <c r="I201" s="13"/>
      <c r="J201" s="13">
        <v>6.4</v>
      </c>
      <c r="K201" s="13">
        <v>247.9</v>
      </c>
    </row>
    <row r="202" spans="1:11" s="5" customFormat="1" ht="15.75" customHeight="1">
      <c r="A202" s="13">
        <f t="shared" si="9"/>
        <v>198</v>
      </c>
      <c r="B202" s="25" t="s">
        <v>74</v>
      </c>
      <c r="C202" s="19">
        <v>9</v>
      </c>
      <c r="D202" s="18">
        <f t="shared" si="8"/>
        <v>7240.300000000001</v>
      </c>
      <c r="E202" s="18">
        <f>6132.3-7.9</f>
        <v>6124.400000000001</v>
      </c>
      <c r="F202" s="18">
        <v>3296.6</v>
      </c>
      <c r="G202" s="13">
        <v>1068.9</v>
      </c>
      <c r="H202" s="13"/>
      <c r="I202" s="13"/>
      <c r="J202" s="13">
        <v>47</v>
      </c>
      <c r="K202" s="13"/>
    </row>
    <row r="203" spans="1:11" s="5" customFormat="1" ht="15.75" customHeight="1">
      <c r="A203" s="13">
        <f t="shared" si="9"/>
        <v>199</v>
      </c>
      <c r="B203" s="25" t="s">
        <v>74</v>
      </c>
      <c r="C203" s="19">
        <v>18</v>
      </c>
      <c r="D203" s="18">
        <f t="shared" si="8"/>
        <v>3675.5000000000005</v>
      </c>
      <c r="E203" s="13">
        <f>3110-86+0.6-1.1-42-31.1</f>
        <v>2950.4</v>
      </c>
      <c r="F203" s="13">
        <f>2040-30.4-18-13.3-28.8-16.8</f>
        <v>1932.7</v>
      </c>
      <c r="G203" s="13">
        <f>293.4+221.8+21.4+42+31.1</f>
        <v>609.7</v>
      </c>
      <c r="H203" s="13">
        <v>208.2</v>
      </c>
      <c r="I203" s="13"/>
      <c r="J203" s="13">
        <v>115.4</v>
      </c>
      <c r="K203" s="13"/>
    </row>
    <row r="204" spans="1:11" s="5" customFormat="1" ht="15.75" customHeight="1">
      <c r="A204" s="13">
        <f t="shared" si="9"/>
        <v>200</v>
      </c>
      <c r="B204" s="25" t="s">
        <v>74</v>
      </c>
      <c r="C204" s="19">
        <v>20</v>
      </c>
      <c r="D204" s="18">
        <f t="shared" si="8"/>
        <v>2604.7</v>
      </c>
      <c r="E204" s="13">
        <v>1731.7</v>
      </c>
      <c r="F204" s="13">
        <v>1097.5</v>
      </c>
      <c r="G204" s="13">
        <v>0</v>
      </c>
      <c r="H204" s="13"/>
      <c r="I204" s="13"/>
      <c r="J204" s="13">
        <v>214.5</v>
      </c>
      <c r="K204" s="13">
        <v>658.5</v>
      </c>
    </row>
    <row r="205" spans="1:11" s="5" customFormat="1" ht="15.75" customHeight="1">
      <c r="A205" s="13">
        <f t="shared" si="9"/>
        <v>201</v>
      </c>
      <c r="B205" s="25" t="s">
        <v>74</v>
      </c>
      <c r="C205" s="19">
        <v>22</v>
      </c>
      <c r="D205" s="18">
        <f t="shared" si="8"/>
        <v>3647.1</v>
      </c>
      <c r="E205" s="13">
        <f>3114.7+19.7</f>
        <v>3134.3999999999996</v>
      </c>
      <c r="F205" s="13">
        <v>2016.8</v>
      </c>
      <c r="G205" s="13">
        <v>319.4</v>
      </c>
      <c r="H205" s="13">
        <v>319.4</v>
      </c>
      <c r="I205" s="13"/>
      <c r="J205" s="13">
        <v>193.3</v>
      </c>
      <c r="K205" s="13"/>
    </row>
    <row r="206" spans="1:11" s="5" customFormat="1" ht="15.75" customHeight="1">
      <c r="A206" s="13">
        <f t="shared" si="9"/>
        <v>202</v>
      </c>
      <c r="B206" s="25" t="s">
        <v>74</v>
      </c>
      <c r="C206" s="19">
        <v>28</v>
      </c>
      <c r="D206" s="18">
        <f t="shared" si="8"/>
        <v>2730.2000000000007</v>
      </c>
      <c r="E206" s="13">
        <f>2563+16.9-2-102.5-57.6-57.9+0.9+104.5-102.2</f>
        <v>2363.1000000000004</v>
      </c>
      <c r="F206" s="13">
        <f>1748.5-64.1-43.7-43.8+224-74.8</f>
        <v>1746.1000000000001</v>
      </c>
      <c r="G206" s="13">
        <f>102.5+57.7+58.9+32+102.2</f>
        <v>353.3</v>
      </c>
      <c r="H206" s="13"/>
      <c r="I206" s="13"/>
      <c r="J206" s="13">
        <f>18.7-4.9</f>
        <v>13.799999999999999</v>
      </c>
      <c r="K206" s="13"/>
    </row>
    <row r="207" spans="1:11" s="5" customFormat="1" ht="15.75" customHeight="1">
      <c r="A207" s="13">
        <f t="shared" si="9"/>
        <v>203</v>
      </c>
      <c r="B207" s="25" t="s">
        <v>74</v>
      </c>
      <c r="C207" s="19">
        <v>30</v>
      </c>
      <c r="D207" s="18">
        <f t="shared" si="8"/>
        <v>2595.3</v>
      </c>
      <c r="E207" s="13">
        <f>2560.9+16.4+0.9+17.1-41.7</f>
        <v>2553.6000000000004</v>
      </c>
      <c r="F207" s="13">
        <f>1747+16.4-12.9+17.1-27</f>
        <v>1740.6</v>
      </c>
      <c r="G207" s="13">
        <v>41.7</v>
      </c>
      <c r="H207" s="13"/>
      <c r="I207" s="13"/>
      <c r="J207" s="13"/>
      <c r="K207" s="13"/>
    </row>
    <row r="208" spans="1:11" s="5" customFormat="1" ht="15.75" customHeight="1">
      <c r="A208" s="13">
        <f t="shared" si="9"/>
        <v>204</v>
      </c>
      <c r="B208" s="25" t="s">
        <v>74</v>
      </c>
      <c r="C208" s="15">
        <v>32</v>
      </c>
      <c r="D208" s="18">
        <f t="shared" si="8"/>
        <v>2682</v>
      </c>
      <c r="E208" s="18">
        <v>2636.6</v>
      </c>
      <c r="F208" s="18">
        <v>1813.6</v>
      </c>
      <c r="G208" s="13">
        <v>0</v>
      </c>
      <c r="H208" s="13"/>
      <c r="I208" s="13"/>
      <c r="J208" s="13">
        <v>45.4</v>
      </c>
      <c r="K208" s="13"/>
    </row>
    <row r="209" spans="1:11" s="5" customFormat="1" ht="15.75" customHeight="1">
      <c r="A209" s="13">
        <f t="shared" si="9"/>
        <v>205</v>
      </c>
      <c r="B209" s="25" t="s">
        <v>74</v>
      </c>
      <c r="C209" s="15">
        <v>34</v>
      </c>
      <c r="D209" s="18">
        <f t="shared" si="8"/>
        <v>2914.2999999999997</v>
      </c>
      <c r="E209" s="13">
        <f>2606.2+50.2</f>
        <v>2656.3999999999996</v>
      </c>
      <c r="F209" s="13">
        <v>2027.9</v>
      </c>
      <c r="G209" s="13">
        <v>211</v>
      </c>
      <c r="H209" s="13"/>
      <c r="I209" s="13"/>
      <c r="J209" s="13">
        <v>46.9</v>
      </c>
      <c r="K209" s="13"/>
    </row>
    <row r="210" spans="1:11" s="5" customFormat="1" ht="15.75" customHeight="1">
      <c r="A210" s="13">
        <f t="shared" si="9"/>
        <v>206</v>
      </c>
      <c r="B210" s="25" t="s">
        <v>74</v>
      </c>
      <c r="C210" s="15">
        <v>36</v>
      </c>
      <c r="D210" s="18">
        <f t="shared" si="8"/>
        <v>2592.7</v>
      </c>
      <c r="E210" s="13">
        <v>2575.5</v>
      </c>
      <c r="F210" s="13">
        <v>1609</v>
      </c>
      <c r="G210" s="13"/>
      <c r="H210" s="13"/>
      <c r="I210" s="13"/>
      <c r="J210" s="13">
        <v>17.2</v>
      </c>
      <c r="K210" s="13"/>
    </row>
    <row r="211" spans="1:11" s="5" customFormat="1" ht="15.75" customHeight="1">
      <c r="A211" s="13">
        <f t="shared" si="9"/>
        <v>207</v>
      </c>
      <c r="B211" s="25" t="s">
        <v>10</v>
      </c>
      <c r="C211" s="19">
        <v>40</v>
      </c>
      <c r="D211" s="18">
        <f t="shared" si="8"/>
        <v>3487.7</v>
      </c>
      <c r="E211" s="13">
        <f>3221.3-44.2-242.7-30.4</f>
        <v>2904.0000000000005</v>
      </c>
      <c r="F211" s="13">
        <f>2212.4-29-139-17.9</f>
        <v>2026.5</v>
      </c>
      <c r="G211" s="13">
        <f>414.9+30.4</f>
        <v>445.29999999999995</v>
      </c>
      <c r="H211" s="13">
        <v>128</v>
      </c>
      <c r="I211" s="13"/>
      <c r="J211" s="13">
        <v>78.7</v>
      </c>
      <c r="K211" s="13">
        <v>59.7</v>
      </c>
    </row>
    <row r="212" spans="1:11" s="5" customFormat="1" ht="15.75" customHeight="1">
      <c r="A212" s="13">
        <f t="shared" si="9"/>
        <v>208</v>
      </c>
      <c r="B212" s="25" t="s">
        <v>10</v>
      </c>
      <c r="C212" s="19">
        <v>42</v>
      </c>
      <c r="D212" s="18">
        <f t="shared" si="8"/>
        <v>3628.2</v>
      </c>
      <c r="E212" s="13">
        <f>3162.2-42.1-44.3+1-43.5</f>
        <v>3033.2999999999997</v>
      </c>
      <c r="F212" s="13">
        <f>2027.9-28.8-28-27.4</f>
        <v>1943.7</v>
      </c>
      <c r="G212" s="13">
        <f>44.3+379.3+42.1+43.5</f>
        <v>509.20000000000005</v>
      </c>
      <c r="H212" s="13"/>
      <c r="I212" s="13"/>
      <c r="J212" s="13">
        <v>85.7</v>
      </c>
      <c r="K212" s="13"/>
    </row>
    <row r="213" spans="1:11" s="5" customFormat="1" ht="15.75" customHeight="1">
      <c r="A213" s="13">
        <f t="shared" si="9"/>
        <v>209</v>
      </c>
      <c r="B213" s="25" t="s">
        <v>10</v>
      </c>
      <c r="C213" s="19">
        <v>48</v>
      </c>
      <c r="D213" s="18">
        <f t="shared" si="8"/>
        <v>2213.4</v>
      </c>
      <c r="E213" s="13">
        <f>1770.8-95.8-46.4</f>
        <v>1628.6</v>
      </c>
      <c r="F213" s="13">
        <f>1221.3-65.5-28.3</f>
        <v>1127.5</v>
      </c>
      <c r="G213" s="13">
        <f>414.7+46.4</f>
        <v>461.09999999999997</v>
      </c>
      <c r="H213" s="13">
        <v>318.9</v>
      </c>
      <c r="I213" s="13"/>
      <c r="J213" s="13">
        <v>57.9</v>
      </c>
      <c r="K213" s="13">
        <v>65.8</v>
      </c>
    </row>
    <row r="214" spans="1:11" s="5" customFormat="1" ht="15.75" customHeight="1">
      <c r="A214" s="13">
        <f t="shared" si="9"/>
        <v>210</v>
      </c>
      <c r="B214" s="25" t="s">
        <v>10</v>
      </c>
      <c r="C214" s="19" t="s">
        <v>75</v>
      </c>
      <c r="D214" s="18">
        <f t="shared" si="8"/>
        <v>1017.5</v>
      </c>
      <c r="E214" s="13">
        <v>662.7</v>
      </c>
      <c r="F214" s="13">
        <v>418.9</v>
      </c>
      <c r="G214" s="13">
        <f>6.8+277</f>
        <v>283.8</v>
      </c>
      <c r="H214" s="13">
        <v>6.8</v>
      </c>
      <c r="I214" s="13"/>
      <c r="J214" s="13">
        <v>71</v>
      </c>
      <c r="K214" s="13"/>
    </row>
    <row r="215" spans="1:11" s="5" customFormat="1" ht="15.75" customHeight="1">
      <c r="A215" s="13">
        <f t="shared" si="9"/>
        <v>211</v>
      </c>
      <c r="B215" s="25" t="s">
        <v>76</v>
      </c>
      <c r="C215" s="19">
        <v>23</v>
      </c>
      <c r="D215" s="18">
        <f t="shared" si="8"/>
        <v>7793.7</v>
      </c>
      <c r="E215" s="13">
        <f>7647.6-61+15.4+15.5</f>
        <v>7617.5</v>
      </c>
      <c r="F215" s="13">
        <f>4676.2-38.3+15.4+15.5</f>
        <v>4668.799999999999</v>
      </c>
      <c r="G215" s="13">
        <v>61</v>
      </c>
      <c r="H215" s="13">
        <v>61</v>
      </c>
      <c r="I215" s="13"/>
      <c r="J215" s="13">
        <f>146.1-15.4-15.5</f>
        <v>115.19999999999999</v>
      </c>
      <c r="K215" s="13"/>
    </row>
    <row r="216" spans="1:11" s="5" customFormat="1" ht="15.75" customHeight="1">
      <c r="A216" s="13">
        <f t="shared" si="9"/>
        <v>212</v>
      </c>
      <c r="B216" s="25" t="s">
        <v>76</v>
      </c>
      <c r="C216" s="15">
        <v>24</v>
      </c>
      <c r="D216" s="18">
        <f t="shared" si="8"/>
        <v>5516.399999999999</v>
      </c>
      <c r="E216" s="13">
        <f>5429.7-92.3-61.6</f>
        <v>5275.799999999999</v>
      </c>
      <c r="F216" s="13">
        <f>3667.8-62.5-45.1</f>
        <v>3560.2000000000003</v>
      </c>
      <c r="G216" s="13">
        <f>92.3+61.6</f>
        <v>153.9</v>
      </c>
      <c r="H216" s="13"/>
      <c r="I216" s="13"/>
      <c r="J216" s="13">
        <v>86.7</v>
      </c>
      <c r="K216" s="13"/>
    </row>
    <row r="217" spans="1:11" s="5" customFormat="1" ht="15.75" customHeight="1">
      <c r="A217" s="13">
        <f t="shared" si="9"/>
        <v>213</v>
      </c>
      <c r="B217" s="25" t="s">
        <v>76</v>
      </c>
      <c r="C217" s="15">
        <v>25</v>
      </c>
      <c r="D217" s="18">
        <f t="shared" si="8"/>
        <v>4769.8</v>
      </c>
      <c r="E217" s="13">
        <f>4669.9+31.8</f>
        <v>4701.7</v>
      </c>
      <c r="F217" s="13">
        <v>2432.2</v>
      </c>
      <c r="G217" s="13"/>
      <c r="H217" s="13"/>
      <c r="I217" s="13"/>
      <c r="J217" s="13">
        <f>31.5+36.6</f>
        <v>68.1</v>
      </c>
      <c r="K217" s="13"/>
    </row>
    <row r="218" spans="1:11" s="5" customFormat="1" ht="15.75" customHeight="1">
      <c r="A218" s="13">
        <f t="shared" si="9"/>
        <v>214</v>
      </c>
      <c r="B218" s="25" t="s">
        <v>76</v>
      </c>
      <c r="C218" s="19">
        <v>30</v>
      </c>
      <c r="D218" s="18">
        <f t="shared" si="8"/>
        <v>3740.2</v>
      </c>
      <c r="E218" s="13">
        <f>3554.7+245.2-118.7-1.3</f>
        <v>3679.8999999999996</v>
      </c>
      <c r="F218" s="13">
        <f>2371.4+110.3</f>
        <v>2481.7000000000003</v>
      </c>
      <c r="G218" s="13">
        <f>118.7-58.4</f>
        <v>60.300000000000004</v>
      </c>
      <c r="H218" s="13"/>
      <c r="I218" s="13"/>
      <c r="J218" s="13">
        <f>720.2-720.2</f>
        <v>0</v>
      </c>
      <c r="K218" s="13"/>
    </row>
    <row r="219" spans="1:11" s="5" customFormat="1" ht="15.75" customHeight="1">
      <c r="A219" s="13">
        <f t="shared" si="9"/>
        <v>215</v>
      </c>
      <c r="B219" s="25" t="s">
        <v>76</v>
      </c>
      <c r="C219" s="19">
        <v>32</v>
      </c>
      <c r="D219" s="18">
        <f t="shared" si="8"/>
        <v>3583.2999999999997</v>
      </c>
      <c r="E219" s="13">
        <f>3583.8-43.3-46.8-0.5-57</f>
        <v>3436.2</v>
      </c>
      <c r="F219" s="13">
        <f>2396.3+245.2-27.5-30.8-246.5-39</f>
        <v>2297.7</v>
      </c>
      <c r="G219" s="13">
        <f>90.1+57</f>
        <v>147.1</v>
      </c>
      <c r="H219" s="13"/>
      <c r="I219" s="13"/>
      <c r="J219" s="13"/>
      <c r="K219" s="13"/>
    </row>
    <row r="220" spans="1:11" s="5" customFormat="1" ht="15.75" customHeight="1">
      <c r="A220" s="13">
        <f t="shared" si="9"/>
        <v>216</v>
      </c>
      <c r="B220" s="25" t="s">
        <v>76</v>
      </c>
      <c r="C220" s="19">
        <v>34</v>
      </c>
      <c r="D220" s="18">
        <f t="shared" si="8"/>
        <v>11195.800000000001</v>
      </c>
      <c r="E220" s="23">
        <f>10756.2+17.2-225.7</f>
        <v>10547.7</v>
      </c>
      <c r="F220" s="18">
        <f>6570.4-143.1</f>
        <v>6427.299999999999</v>
      </c>
      <c r="G220" s="13">
        <f>398.2</f>
        <v>398.2</v>
      </c>
      <c r="H220" s="13">
        <v>187</v>
      </c>
      <c r="I220" s="13"/>
      <c r="J220" s="13">
        <v>249.9</v>
      </c>
      <c r="K220" s="13"/>
    </row>
    <row r="221" spans="1:11" s="5" customFormat="1" ht="15.75" customHeight="1">
      <c r="A221" s="13">
        <f t="shared" si="9"/>
        <v>217</v>
      </c>
      <c r="B221" s="25" t="s">
        <v>76</v>
      </c>
      <c r="C221" s="19" t="s">
        <v>77</v>
      </c>
      <c r="D221" s="18">
        <f t="shared" si="8"/>
        <v>2757.9</v>
      </c>
      <c r="E221" s="13">
        <f>2690.5+3.4</f>
        <v>2693.9</v>
      </c>
      <c r="F221" s="13">
        <v>1649.6</v>
      </c>
      <c r="G221" s="13">
        <v>0</v>
      </c>
      <c r="H221" s="13"/>
      <c r="I221" s="13"/>
      <c r="J221" s="13">
        <v>64</v>
      </c>
      <c r="K221" s="13"/>
    </row>
    <row r="222" spans="1:11" s="5" customFormat="1" ht="15.75" customHeight="1">
      <c r="A222" s="13">
        <f t="shared" si="9"/>
        <v>218</v>
      </c>
      <c r="B222" s="25" t="s">
        <v>76</v>
      </c>
      <c r="C222" s="19" t="s">
        <v>78</v>
      </c>
      <c r="D222" s="18">
        <f t="shared" si="8"/>
        <v>4863.299999999999</v>
      </c>
      <c r="E222" s="13">
        <v>4783.4</v>
      </c>
      <c r="F222" s="13">
        <v>2517.3</v>
      </c>
      <c r="G222" s="13">
        <v>0</v>
      </c>
      <c r="H222" s="13"/>
      <c r="I222" s="13"/>
      <c r="J222" s="13">
        <v>79.9</v>
      </c>
      <c r="K222" s="13"/>
    </row>
    <row r="223" spans="1:11" s="5" customFormat="1" ht="15.75" customHeight="1">
      <c r="A223" s="13">
        <f t="shared" si="9"/>
        <v>219</v>
      </c>
      <c r="B223" s="25" t="s">
        <v>76</v>
      </c>
      <c r="C223" s="19" t="s">
        <v>79</v>
      </c>
      <c r="D223" s="18">
        <f t="shared" si="8"/>
        <v>5952.5</v>
      </c>
      <c r="E223" s="13">
        <v>5844.2</v>
      </c>
      <c r="F223" s="13">
        <v>3541.7</v>
      </c>
      <c r="G223" s="13">
        <v>0</v>
      </c>
      <c r="H223" s="13"/>
      <c r="I223" s="13"/>
      <c r="J223" s="13">
        <v>108.3</v>
      </c>
      <c r="K223" s="13"/>
    </row>
    <row r="224" spans="1:11" s="5" customFormat="1" ht="15.75" customHeight="1">
      <c r="A224" s="13">
        <f t="shared" si="9"/>
        <v>220</v>
      </c>
      <c r="B224" s="25" t="s">
        <v>12</v>
      </c>
      <c r="C224" s="19">
        <v>63</v>
      </c>
      <c r="D224" s="18">
        <f t="shared" si="8"/>
        <v>5442.8</v>
      </c>
      <c r="E224" s="13">
        <v>3827.6</v>
      </c>
      <c r="F224" s="13">
        <v>2505.4</v>
      </c>
      <c r="G224" s="13">
        <v>784.7</v>
      </c>
      <c r="H224" s="13">
        <f>807.6-22.9</f>
        <v>784.7</v>
      </c>
      <c r="I224" s="13"/>
      <c r="J224" s="13"/>
      <c r="K224" s="13">
        <f>807.6+22.9</f>
        <v>830.5</v>
      </c>
    </row>
    <row r="225" spans="1:11" s="5" customFormat="1" ht="15.75" customHeight="1">
      <c r="A225" s="13">
        <f t="shared" si="9"/>
        <v>221</v>
      </c>
      <c r="B225" s="25" t="s">
        <v>12</v>
      </c>
      <c r="C225" s="19">
        <v>65</v>
      </c>
      <c r="D225" s="18">
        <f t="shared" si="8"/>
        <v>6113.299999999998</v>
      </c>
      <c r="E225" s="13">
        <f>5164.9-334.6-106.5-276.1</f>
        <v>4447.699999999999</v>
      </c>
      <c r="F225" s="13">
        <f>3446.8-199.4-74-196.6</f>
        <v>2976.8</v>
      </c>
      <c r="G225" s="13">
        <v>695.9</v>
      </c>
      <c r="H225" s="13">
        <v>423.4</v>
      </c>
      <c r="I225" s="13"/>
      <c r="J225" s="13">
        <f>69.7+27.7-27.7</f>
        <v>69.7</v>
      </c>
      <c r="K225" s="13">
        <v>900</v>
      </c>
    </row>
    <row r="226" spans="1:11" s="5" customFormat="1" ht="15.75" customHeight="1">
      <c r="A226" s="13">
        <f t="shared" si="9"/>
        <v>222</v>
      </c>
      <c r="B226" s="25" t="s">
        <v>12</v>
      </c>
      <c r="C226" s="19">
        <v>67</v>
      </c>
      <c r="D226" s="18">
        <f t="shared" si="8"/>
        <v>5647.8</v>
      </c>
      <c r="E226" s="13">
        <f>3733.6-376.7</f>
        <v>3356.9</v>
      </c>
      <c r="F226" s="13">
        <f>2490-350.4</f>
        <v>2139.6</v>
      </c>
      <c r="G226" s="13">
        <f>1290.5+520.9+376.7</f>
        <v>2188.1</v>
      </c>
      <c r="H226" s="13">
        <v>356.3</v>
      </c>
      <c r="I226" s="13">
        <v>934.2</v>
      </c>
      <c r="J226" s="13">
        <v>102.8</v>
      </c>
      <c r="K226" s="13"/>
    </row>
    <row r="227" spans="1:11" s="5" customFormat="1" ht="15.75" customHeight="1">
      <c r="A227" s="13">
        <f t="shared" si="9"/>
        <v>223</v>
      </c>
      <c r="B227" s="25" t="s">
        <v>21</v>
      </c>
      <c r="C227" s="19">
        <v>32</v>
      </c>
      <c r="D227" s="18">
        <f t="shared" si="8"/>
        <v>5495.299999999999</v>
      </c>
      <c r="E227" s="13">
        <f>4082.3-80.2-0.4-86.3</f>
        <v>3915.4</v>
      </c>
      <c r="F227" s="13">
        <f>2650.5-57+9-54.3</f>
        <v>2548.2</v>
      </c>
      <c r="G227" s="13">
        <f>530.1+783.8-23.7+86.3</f>
        <v>1376.5</v>
      </c>
      <c r="H227" s="13">
        <v>164.2</v>
      </c>
      <c r="I227" s="13">
        <v>285.7</v>
      </c>
      <c r="J227" s="13">
        <f>179.5+23.9</f>
        <v>203.4</v>
      </c>
      <c r="K227" s="13"/>
    </row>
    <row r="228" spans="1:11" s="5" customFormat="1" ht="15.75" customHeight="1">
      <c r="A228" s="13">
        <f t="shared" si="9"/>
        <v>224</v>
      </c>
      <c r="B228" s="25" t="s">
        <v>21</v>
      </c>
      <c r="C228" s="19">
        <v>33</v>
      </c>
      <c r="D228" s="18">
        <f t="shared" si="8"/>
        <v>1512.5</v>
      </c>
      <c r="E228" s="13">
        <f>1202.4-47.7-47.3-59.7-47.2-47</f>
        <v>953.5</v>
      </c>
      <c r="F228" s="13">
        <f>638.2-32.3-23.7-36-23.2-23.6</f>
        <v>499.4</v>
      </c>
      <c r="G228" s="13">
        <f>47.7+47.3+59.7+47.2+47-11.1</f>
        <v>237.79999999999998</v>
      </c>
      <c r="H228" s="13"/>
      <c r="I228" s="13"/>
      <c r="J228" s="13">
        <f>31.2+11.1</f>
        <v>42.3</v>
      </c>
      <c r="K228" s="13">
        <f>278.9</f>
        <v>278.9</v>
      </c>
    </row>
    <row r="229" spans="1:11" s="5" customFormat="1" ht="15.75" customHeight="1">
      <c r="A229" s="13">
        <f t="shared" si="9"/>
        <v>225</v>
      </c>
      <c r="B229" s="25" t="s">
        <v>21</v>
      </c>
      <c r="C229" s="19">
        <v>37</v>
      </c>
      <c r="D229" s="18">
        <f t="shared" si="8"/>
        <v>1363.1</v>
      </c>
      <c r="E229" s="13">
        <f>1186.3-45.6-64.2</f>
        <v>1076.5</v>
      </c>
      <c r="F229" s="13">
        <f>720.6-26.2-44</f>
        <v>650.4</v>
      </c>
      <c r="G229" s="13">
        <f>106.5+98.1+17.8+64.2</f>
        <v>286.6</v>
      </c>
      <c r="H229" s="13">
        <v>69.1</v>
      </c>
      <c r="I229" s="13">
        <v>37.4</v>
      </c>
      <c r="J229" s="13"/>
      <c r="K229" s="13"/>
    </row>
    <row r="230" spans="1:11" s="5" customFormat="1" ht="15.75" customHeight="1">
      <c r="A230" s="13">
        <f t="shared" si="9"/>
        <v>226</v>
      </c>
      <c r="B230" s="25" t="s">
        <v>21</v>
      </c>
      <c r="C230" s="19">
        <v>39</v>
      </c>
      <c r="D230" s="18">
        <f t="shared" si="8"/>
        <v>5307.299999999999</v>
      </c>
      <c r="E230" s="13">
        <f>3839.5-174.8+8-4</f>
        <v>3668.7</v>
      </c>
      <c r="F230" s="13">
        <f>2217.1-63.4-37</f>
        <v>2116.7</v>
      </c>
      <c r="G230" s="13">
        <f>695.2+554.9</f>
        <v>1250.1</v>
      </c>
      <c r="H230" s="13">
        <v>520.4</v>
      </c>
      <c r="I230" s="13"/>
      <c r="J230" s="13">
        <f>66.7+321.8</f>
        <v>388.5</v>
      </c>
      <c r="K230" s="13"/>
    </row>
    <row r="231" spans="1:11" s="5" customFormat="1" ht="15.75" customHeight="1">
      <c r="A231" s="13">
        <f t="shared" si="9"/>
        <v>227</v>
      </c>
      <c r="B231" s="25" t="s">
        <v>21</v>
      </c>
      <c r="C231" s="19">
        <v>41</v>
      </c>
      <c r="D231" s="18">
        <f t="shared" si="8"/>
        <v>1640.1</v>
      </c>
      <c r="E231" s="13">
        <f>1396.8-0.1</f>
        <v>1396.7</v>
      </c>
      <c r="F231" s="13">
        <f>924.8-1.7</f>
        <v>923.0999999999999</v>
      </c>
      <c r="G231" s="13">
        <f>129.6+72.2-4</f>
        <v>197.8</v>
      </c>
      <c r="H231" s="13">
        <v>129.6</v>
      </c>
      <c r="I231" s="13"/>
      <c r="J231" s="13">
        <v>45.6</v>
      </c>
      <c r="K231" s="13"/>
    </row>
    <row r="232" spans="1:11" s="5" customFormat="1" ht="15.75" customHeight="1">
      <c r="A232" s="13">
        <f t="shared" si="9"/>
        <v>228</v>
      </c>
      <c r="B232" s="25" t="s">
        <v>21</v>
      </c>
      <c r="C232" s="19">
        <v>43</v>
      </c>
      <c r="D232" s="18">
        <f t="shared" si="8"/>
        <v>4299.7</v>
      </c>
      <c r="E232" s="13">
        <f>3632.3-31.3</f>
        <v>3601</v>
      </c>
      <c r="F232" s="13">
        <f>3687.5-1242.2-20.8</f>
        <v>2424.5</v>
      </c>
      <c r="G232" s="13">
        <f>23+274.2+315+31.3</f>
        <v>643.5</v>
      </c>
      <c r="H232" s="13">
        <v>23</v>
      </c>
      <c r="I232" s="13"/>
      <c r="J232" s="13">
        <v>55.2</v>
      </c>
      <c r="K232" s="13"/>
    </row>
    <row r="233" spans="1:11" s="5" customFormat="1" ht="15.75" customHeight="1">
      <c r="A233" s="13">
        <f t="shared" si="9"/>
        <v>229</v>
      </c>
      <c r="B233" s="25" t="s">
        <v>21</v>
      </c>
      <c r="C233" s="19">
        <v>45</v>
      </c>
      <c r="D233" s="18">
        <f t="shared" si="8"/>
        <v>4041.4</v>
      </c>
      <c r="E233" s="13">
        <f>3690.9-30.5-37.2-27.9</f>
        <v>3595.3</v>
      </c>
      <c r="F233" s="13">
        <f>2500.2-21.4-26.3+16.2-17</f>
        <v>2451.6999999999994</v>
      </c>
      <c r="G233" s="13">
        <f>276.5+27.9+66.7</f>
        <v>371.09999999999997</v>
      </c>
      <c r="H233" s="13">
        <v>212.2</v>
      </c>
      <c r="I233" s="13"/>
      <c r="J233" s="13">
        <v>75</v>
      </c>
      <c r="K233" s="13"/>
    </row>
    <row r="234" spans="1:11" s="5" customFormat="1" ht="15.75" customHeight="1">
      <c r="A234" s="13">
        <f t="shared" si="9"/>
        <v>230</v>
      </c>
      <c r="B234" s="25" t="s">
        <v>21</v>
      </c>
      <c r="C234" s="19">
        <v>46</v>
      </c>
      <c r="D234" s="18">
        <f>E234+G234+J234+K234</f>
        <v>3924.5000000000005</v>
      </c>
      <c r="E234" s="18">
        <f>3148.6-31-42.2</f>
        <v>3075.4</v>
      </c>
      <c r="F234" s="18">
        <f>2107.2-19-29</f>
        <v>2059.2</v>
      </c>
      <c r="G234" s="13">
        <f>29.1+31+42.2+331.7+359.2</f>
        <v>793.2</v>
      </c>
      <c r="H234" s="13"/>
      <c r="I234" s="13"/>
      <c r="J234" s="13">
        <v>55.9</v>
      </c>
      <c r="K234" s="13"/>
    </row>
    <row r="235" spans="1:11" s="5" customFormat="1" ht="15.75" customHeight="1">
      <c r="A235" s="13">
        <f t="shared" si="9"/>
        <v>231</v>
      </c>
      <c r="B235" s="25" t="s">
        <v>21</v>
      </c>
      <c r="C235" s="19">
        <v>47</v>
      </c>
      <c r="D235" s="18">
        <f>SUM(E235+G235+J235+K235)</f>
        <v>4022.2999999999997</v>
      </c>
      <c r="E235" s="18">
        <f>3651.3-24.3-3.3</f>
        <v>3623.7</v>
      </c>
      <c r="F235" s="18">
        <f>2474-19</f>
        <v>2455</v>
      </c>
      <c r="G235" s="13">
        <f>308.4+29</f>
        <v>337.4</v>
      </c>
      <c r="H235" s="13"/>
      <c r="I235" s="13"/>
      <c r="J235" s="13">
        <f>64.4+24.3-27.5</f>
        <v>61.2</v>
      </c>
      <c r="K235" s="13"/>
    </row>
    <row r="236" spans="1:11" s="5" customFormat="1" ht="15.75" customHeight="1">
      <c r="A236" s="13">
        <f t="shared" si="9"/>
        <v>232</v>
      </c>
      <c r="B236" s="25" t="s">
        <v>21</v>
      </c>
      <c r="C236" s="19">
        <v>49</v>
      </c>
      <c r="D236" s="18">
        <f>SUM(E236+G236+J236+K236)</f>
        <v>1830.6000000000001</v>
      </c>
      <c r="E236" s="18">
        <f>1449.9-20.4</f>
        <v>1429.5</v>
      </c>
      <c r="F236" s="18">
        <f>963.1+32.9</f>
        <v>996</v>
      </c>
      <c r="G236" s="13">
        <f>158.3+196.4</f>
        <v>354.70000000000005</v>
      </c>
      <c r="H236" s="13"/>
      <c r="I236" s="13"/>
      <c r="J236" s="13">
        <f>38.7+20.4-12.7</f>
        <v>46.400000000000006</v>
      </c>
      <c r="K236" s="13">
        <v>0</v>
      </c>
    </row>
    <row r="237" spans="1:11" s="5" customFormat="1" ht="15.75" customHeight="1">
      <c r="A237" s="13">
        <f t="shared" si="9"/>
        <v>233</v>
      </c>
      <c r="B237" s="25" t="s">
        <v>21</v>
      </c>
      <c r="C237" s="19">
        <v>50</v>
      </c>
      <c r="D237" s="18">
        <f>E237+G237+J237+K237</f>
        <v>3369.3</v>
      </c>
      <c r="E237" s="18">
        <v>2574.9</v>
      </c>
      <c r="F237" s="18">
        <v>1737.2</v>
      </c>
      <c r="G237" s="13">
        <v>737.1</v>
      </c>
      <c r="H237" s="13">
        <v>737.1</v>
      </c>
      <c r="I237" s="13"/>
      <c r="J237" s="13">
        <v>57.3</v>
      </c>
      <c r="K237" s="13">
        <v>0</v>
      </c>
    </row>
    <row r="238" spans="1:11" s="5" customFormat="1" ht="15.75" customHeight="1">
      <c r="A238" s="13">
        <f t="shared" si="9"/>
        <v>234</v>
      </c>
      <c r="B238" s="25" t="s">
        <v>21</v>
      </c>
      <c r="C238" s="19">
        <v>51</v>
      </c>
      <c r="D238" s="18">
        <f aca="true" t="shared" si="10" ref="D238:D246">SUM(E238+G238+J238+K238)</f>
        <v>1848.3999999999999</v>
      </c>
      <c r="E238" s="18">
        <f>1544-89.2-31+69.8</f>
        <v>1493.6</v>
      </c>
      <c r="F238" s="18">
        <f>1039.9-60.6-18.8+80.6</f>
        <v>1041.1000000000001</v>
      </c>
      <c r="G238" s="13">
        <v>308.2</v>
      </c>
      <c r="H238" s="13">
        <f>73.9</f>
        <v>73.9</v>
      </c>
      <c r="I238" s="13"/>
      <c r="J238" s="13">
        <v>46.6</v>
      </c>
      <c r="K238" s="13">
        <v>0</v>
      </c>
    </row>
    <row r="239" spans="1:11" s="5" customFormat="1" ht="15.75" customHeight="1">
      <c r="A239" s="13">
        <f t="shared" si="9"/>
        <v>235</v>
      </c>
      <c r="B239" s="25" t="s">
        <v>21</v>
      </c>
      <c r="C239" s="19" t="s">
        <v>80</v>
      </c>
      <c r="D239" s="18">
        <f t="shared" si="10"/>
        <v>1104.6000000000001</v>
      </c>
      <c r="E239" s="13">
        <f>1097.4+0.9</f>
        <v>1098.3000000000002</v>
      </c>
      <c r="F239" s="13">
        <f>686.2-0.2</f>
        <v>686</v>
      </c>
      <c r="G239" s="13">
        <v>0</v>
      </c>
      <c r="H239" s="13"/>
      <c r="I239" s="13"/>
      <c r="J239" s="13">
        <v>6.3</v>
      </c>
      <c r="K239" s="13"/>
    </row>
    <row r="240" spans="1:11" s="5" customFormat="1" ht="15.75" customHeight="1">
      <c r="A240" s="13">
        <f t="shared" si="9"/>
        <v>236</v>
      </c>
      <c r="B240" s="25" t="s">
        <v>21</v>
      </c>
      <c r="C240" s="19" t="s">
        <v>81</v>
      </c>
      <c r="D240" s="18">
        <f t="shared" si="10"/>
        <v>1284.1000000000001</v>
      </c>
      <c r="E240" s="13">
        <f>1133.4-0.3</f>
        <v>1133.1000000000001</v>
      </c>
      <c r="F240" s="13">
        <f>702.6-0.2</f>
        <v>702.4</v>
      </c>
      <c r="G240" s="13">
        <v>134.7</v>
      </c>
      <c r="H240" s="13"/>
      <c r="I240" s="13"/>
      <c r="J240" s="13">
        <f>151-134.7</f>
        <v>16.30000000000001</v>
      </c>
      <c r="K240" s="13"/>
    </row>
    <row r="241" spans="1:11" s="5" customFormat="1" ht="15.75" customHeight="1">
      <c r="A241" s="13">
        <f t="shared" si="9"/>
        <v>237</v>
      </c>
      <c r="B241" s="25" t="s">
        <v>21</v>
      </c>
      <c r="C241" s="19" t="s">
        <v>82</v>
      </c>
      <c r="D241" s="18">
        <f t="shared" si="10"/>
        <v>3997.3999999999996</v>
      </c>
      <c r="E241" s="18">
        <f>3621.6-40.8</f>
        <v>3580.7999999999997</v>
      </c>
      <c r="F241" s="18">
        <f>2461-30</f>
        <v>2431</v>
      </c>
      <c r="G241" s="13">
        <f>301.9+40.8</f>
        <v>342.7</v>
      </c>
      <c r="H241" s="13">
        <v>301.9</v>
      </c>
      <c r="I241" s="13"/>
      <c r="J241" s="13">
        <v>73.9</v>
      </c>
      <c r="K241" s="13">
        <v>0</v>
      </c>
    </row>
    <row r="242" spans="1:11" s="5" customFormat="1" ht="15.75" customHeight="1">
      <c r="A242" s="13">
        <f t="shared" si="9"/>
        <v>238</v>
      </c>
      <c r="B242" s="25" t="s">
        <v>21</v>
      </c>
      <c r="C242" s="19" t="s">
        <v>83</v>
      </c>
      <c r="D242" s="18">
        <f t="shared" si="10"/>
        <v>4098.1</v>
      </c>
      <c r="E242" s="18">
        <f>3837.2-124.1-30.6</f>
        <v>3682.5</v>
      </c>
      <c r="F242" s="18">
        <f>2593.9-84.7-21.4</f>
        <v>2487.8</v>
      </c>
      <c r="G242" s="13">
        <f>182.4+124.1+30.6</f>
        <v>337.1</v>
      </c>
      <c r="H242" s="13">
        <v>182.4</v>
      </c>
      <c r="I242" s="13"/>
      <c r="J242" s="13">
        <v>78.5</v>
      </c>
      <c r="K242" s="13">
        <v>0</v>
      </c>
    </row>
    <row r="243" spans="1:11" s="5" customFormat="1" ht="15.75" customHeight="1">
      <c r="A243" s="13">
        <f t="shared" si="9"/>
        <v>239</v>
      </c>
      <c r="B243" s="25" t="s">
        <v>84</v>
      </c>
      <c r="C243" s="19">
        <v>63</v>
      </c>
      <c r="D243" s="18">
        <f t="shared" si="10"/>
        <v>3251.7</v>
      </c>
      <c r="E243" s="13">
        <f>2604.2-97.6+17-86.1-84.6-82.8</f>
        <v>2270.1</v>
      </c>
      <c r="F243" s="13">
        <f>1754-68.2-5.4-55.1-57.2-56.7</f>
        <v>1511.3999999999999</v>
      </c>
      <c r="G243" s="13">
        <f>489.8+249.4+86.1+84.6+82.8-25.2</f>
        <v>967.5</v>
      </c>
      <c r="H243" s="13">
        <v>392.2</v>
      </c>
      <c r="I243" s="13"/>
      <c r="J243" s="13">
        <v>14.1</v>
      </c>
      <c r="K243" s="13"/>
    </row>
    <row r="244" spans="1:11" s="5" customFormat="1" ht="15.75" customHeight="1">
      <c r="A244" s="13">
        <f t="shared" si="9"/>
        <v>240</v>
      </c>
      <c r="B244" s="25" t="s">
        <v>84</v>
      </c>
      <c r="C244" s="19">
        <v>71</v>
      </c>
      <c r="D244" s="18">
        <f t="shared" si="10"/>
        <v>3634.9</v>
      </c>
      <c r="E244" s="13">
        <f>3319.9-149-43.4-39.7-30.7</f>
        <v>3057.1000000000004</v>
      </c>
      <c r="F244" s="13">
        <f>2134.8-97-27.6-27.2-17.9</f>
        <v>1965.1000000000001</v>
      </c>
      <c r="G244" s="13">
        <f>415.3+43.4+39.7+30.7</f>
        <v>529.1</v>
      </c>
      <c r="H244" s="13">
        <v>266.3</v>
      </c>
      <c r="I244" s="13"/>
      <c r="J244" s="13">
        <v>48.7</v>
      </c>
      <c r="K244" s="13"/>
    </row>
    <row r="245" spans="1:11" s="5" customFormat="1" ht="15.75" customHeight="1">
      <c r="A245" s="13">
        <f t="shared" si="9"/>
        <v>241</v>
      </c>
      <c r="B245" s="25" t="s">
        <v>84</v>
      </c>
      <c r="C245" s="19">
        <v>80</v>
      </c>
      <c r="D245" s="18">
        <f t="shared" si="10"/>
        <v>3912</v>
      </c>
      <c r="E245" s="13">
        <f>3282.3-179.7+87.6-44-44.4</f>
        <v>3101.8</v>
      </c>
      <c r="F245" s="13">
        <f>2129.5-65.4+0.6-37.3-28.1</f>
        <v>1999.3</v>
      </c>
      <c r="G245" s="13">
        <f>88.4+575.3+44+44.4</f>
        <v>752.0999999999999</v>
      </c>
      <c r="H245" s="13"/>
      <c r="I245" s="13"/>
      <c r="J245" s="13">
        <f>74.3+91.3-107.5</f>
        <v>58.099999999999994</v>
      </c>
      <c r="K245" s="13"/>
    </row>
    <row r="246" spans="1:11" s="5" customFormat="1" ht="15.75" customHeight="1">
      <c r="A246" s="13">
        <f t="shared" si="9"/>
        <v>242</v>
      </c>
      <c r="B246" s="25" t="s">
        <v>84</v>
      </c>
      <c r="C246" s="19">
        <v>86</v>
      </c>
      <c r="D246" s="18">
        <f t="shared" si="10"/>
        <v>10762.100000000004</v>
      </c>
      <c r="E246" s="13">
        <f>9807.9-101.8-122.2-62.8-171.8-73.9-211.3-53.9-71.8+26.2</f>
        <v>8964.600000000004</v>
      </c>
      <c r="F246" s="13">
        <f>5916.3-147.4-45.3-115.3-51.3-143.4-31.2-49.6+11.7</f>
        <v>5344.5</v>
      </c>
      <c r="G246" s="13">
        <f>101.8+122.2+62.8+171.8+73.9+211.3+766.8+53.9+71.8-26.2</f>
        <v>1610.1</v>
      </c>
      <c r="H246" s="13"/>
      <c r="I246" s="13"/>
      <c r="J246" s="13">
        <v>187.4</v>
      </c>
      <c r="K246" s="13">
        <f>766.8-766.8</f>
        <v>0</v>
      </c>
    </row>
    <row r="247" spans="1:11" s="5" customFormat="1" ht="15.75" customHeight="1">
      <c r="A247" s="13">
        <f t="shared" si="9"/>
        <v>243</v>
      </c>
      <c r="B247" s="25" t="s">
        <v>38</v>
      </c>
      <c r="C247" s="19">
        <v>32</v>
      </c>
      <c r="D247" s="18">
        <f>E247+G247+J247+K247</f>
        <v>3599.5</v>
      </c>
      <c r="E247" s="18">
        <v>2585.3</v>
      </c>
      <c r="F247" s="18">
        <v>1680.2</v>
      </c>
      <c r="G247" s="13">
        <v>953</v>
      </c>
      <c r="H247" s="13">
        <v>953</v>
      </c>
      <c r="I247" s="13"/>
      <c r="J247" s="13">
        <v>61.2</v>
      </c>
      <c r="K247" s="13">
        <v>0</v>
      </c>
    </row>
    <row r="248" spans="1:11" s="5" customFormat="1" ht="15.75" customHeight="1">
      <c r="A248" s="13">
        <f t="shared" si="9"/>
        <v>244</v>
      </c>
      <c r="B248" s="25" t="s">
        <v>38</v>
      </c>
      <c r="C248" s="19">
        <v>99</v>
      </c>
      <c r="D248" s="18">
        <f>SUM(E248+G248+J248+K248)</f>
        <v>1565.9999999999998</v>
      </c>
      <c r="E248" s="18">
        <f>1543.1-127.7-46-36.3-45.7</f>
        <v>1287.3999999999999</v>
      </c>
      <c r="F248" s="18">
        <f>945.9-78-19.9-29.2-29.3</f>
        <v>789.5</v>
      </c>
      <c r="G248" s="13">
        <f>127.9+46+36.3+45.7</f>
        <v>255.89999999999998</v>
      </c>
      <c r="H248" s="13"/>
      <c r="I248" s="13"/>
      <c r="J248" s="13">
        <v>22.7</v>
      </c>
      <c r="K248" s="13"/>
    </row>
    <row r="249" spans="1:11" s="5" customFormat="1" ht="15.75" customHeight="1">
      <c r="A249" s="13">
        <f t="shared" si="9"/>
        <v>245</v>
      </c>
      <c r="B249" s="25" t="s">
        <v>38</v>
      </c>
      <c r="C249" s="19" t="s">
        <v>85</v>
      </c>
      <c r="D249" s="18">
        <f>SUM(E249+G249+J249+K249)</f>
        <v>3651.3</v>
      </c>
      <c r="E249" s="13">
        <v>3560</v>
      </c>
      <c r="F249" s="13">
        <v>1854</v>
      </c>
      <c r="G249" s="13">
        <v>0</v>
      </c>
      <c r="H249" s="13"/>
      <c r="I249" s="13"/>
      <c r="J249" s="13">
        <v>91.3</v>
      </c>
      <c r="K249" s="13"/>
    </row>
    <row r="250" spans="1:11" s="5" customFormat="1" ht="15.75" customHeight="1">
      <c r="A250" s="13">
        <f t="shared" si="9"/>
        <v>246</v>
      </c>
      <c r="B250" s="31" t="s">
        <v>38</v>
      </c>
      <c r="C250" s="15" t="s">
        <v>86</v>
      </c>
      <c r="D250" s="18">
        <f>SUM(E250+G250+J250+K250)</f>
        <v>4295.900000000001</v>
      </c>
      <c r="E250" s="13">
        <f>4234.8-81.5</f>
        <v>4153.3</v>
      </c>
      <c r="F250" s="13">
        <f>2562.2-50.9</f>
        <v>2511.2999999999997</v>
      </c>
      <c r="G250" s="13">
        <v>81.5</v>
      </c>
      <c r="H250" s="13"/>
      <c r="I250" s="13"/>
      <c r="J250" s="13">
        <v>61.1</v>
      </c>
      <c r="K250" s="13"/>
    </row>
    <row r="251" spans="1:11" s="5" customFormat="1" ht="15.75" customHeight="1">
      <c r="A251" s="13">
        <f t="shared" si="9"/>
        <v>247</v>
      </c>
      <c r="B251" s="25" t="s">
        <v>41</v>
      </c>
      <c r="C251" s="19">
        <v>7</v>
      </c>
      <c r="D251" s="18">
        <f>SUM(E251+G251+J251+K251)</f>
        <v>3711.8999999999996</v>
      </c>
      <c r="E251" s="18">
        <f>2880.6-40.2</f>
        <v>2840.4</v>
      </c>
      <c r="F251" s="18">
        <f>1864.6-28.1</f>
        <v>1836.5</v>
      </c>
      <c r="G251" s="21">
        <f>193.1+489</f>
        <v>682.1</v>
      </c>
      <c r="H251" s="13">
        <v>152.9</v>
      </c>
      <c r="I251" s="13"/>
      <c r="J251" s="13">
        <v>58.7</v>
      </c>
      <c r="K251" s="13">
        <v>130.7</v>
      </c>
    </row>
    <row r="252" spans="1:11" s="5" customFormat="1" ht="15.75" customHeight="1">
      <c r="A252" s="13">
        <f t="shared" si="9"/>
        <v>248</v>
      </c>
      <c r="B252" s="25" t="s">
        <v>87</v>
      </c>
      <c r="C252" s="19">
        <v>1</v>
      </c>
      <c r="D252" s="18">
        <f aca="true" t="shared" si="11" ref="D252:D258">SUM(E252+G252+J252+K252)</f>
        <v>3558.2000000000003</v>
      </c>
      <c r="E252" s="13">
        <f>3515.3-0.7</f>
        <v>3514.6000000000004</v>
      </c>
      <c r="F252" s="13">
        <f>2542.6-199.4</f>
        <v>2343.2</v>
      </c>
      <c r="G252" s="13">
        <f>42.5+1.1</f>
        <v>43.6</v>
      </c>
      <c r="H252" s="13">
        <v>42.5</v>
      </c>
      <c r="I252" s="13"/>
      <c r="J252" s="13"/>
      <c r="K252" s="13"/>
    </row>
    <row r="253" spans="1:11" s="5" customFormat="1" ht="15.75" customHeight="1">
      <c r="A253" s="13">
        <f t="shared" si="9"/>
        <v>249</v>
      </c>
      <c r="B253" s="25" t="s">
        <v>87</v>
      </c>
      <c r="C253" s="19">
        <v>2</v>
      </c>
      <c r="D253" s="18">
        <f t="shared" si="11"/>
        <v>4345.099999999999</v>
      </c>
      <c r="E253" s="18">
        <v>4025.7</v>
      </c>
      <c r="F253" s="18">
        <v>2644.4</v>
      </c>
      <c r="G253" s="13">
        <v>319.4</v>
      </c>
      <c r="H253" s="13">
        <v>277.4</v>
      </c>
      <c r="I253" s="13">
        <v>42</v>
      </c>
      <c r="J253" s="13"/>
      <c r="K253" s="13"/>
    </row>
    <row r="254" spans="1:11" s="5" customFormat="1" ht="15.75" customHeight="1">
      <c r="A254" s="13">
        <f t="shared" si="9"/>
        <v>250</v>
      </c>
      <c r="B254" s="25" t="s">
        <v>87</v>
      </c>
      <c r="C254" s="19">
        <v>3</v>
      </c>
      <c r="D254" s="18">
        <f t="shared" si="11"/>
        <v>3557.4</v>
      </c>
      <c r="E254" s="13">
        <v>3557.4</v>
      </c>
      <c r="F254" s="13">
        <v>2379</v>
      </c>
      <c r="G254" s="13">
        <v>0</v>
      </c>
      <c r="H254" s="13"/>
      <c r="I254" s="13"/>
      <c r="J254" s="13"/>
      <c r="K254" s="13"/>
    </row>
    <row r="255" spans="1:11" s="5" customFormat="1" ht="15.75" customHeight="1">
      <c r="A255" s="13">
        <f t="shared" si="9"/>
        <v>251</v>
      </c>
      <c r="B255" s="25" t="s">
        <v>87</v>
      </c>
      <c r="C255" s="19">
        <v>4</v>
      </c>
      <c r="D255" s="18">
        <f t="shared" si="11"/>
        <v>3486.6</v>
      </c>
      <c r="E255" s="18">
        <f>3443-1.4</f>
        <v>3441.6</v>
      </c>
      <c r="F255" s="18">
        <f>2184.8-11.2</f>
        <v>2173.6000000000004</v>
      </c>
      <c r="G255" s="13">
        <v>0</v>
      </c>
      <c r="H255" s="13"/>
      <c r="I255" s="13"/>
      <c r="J255" s="13">
        <v>45</v>
      </c>
      <c r="K255" s="13"/>
    </row>
    <row r="256" spans="1:11" s="5" customFormat="1" ht="15.75" customHeight="1">
      <c r="A256" s="13">
        <f t="shared" si="9"/>
        <v>252</v>
      </c>
      <c r="B256" s="25" t="s">
        <v>87</v>
      </c>
      <c r="C256" s="19">
        <v>7</v>
      </c>
      <c r="D256" s="18">
        <f t="shared" si="11"/>
        <v>3645.4</v>
      </c>
      <c r="E256" s="13">
        <f>3531+114.4</f>
        <v>3645.4</v>
      </c>
      <c r="F256" s="13">
        <f>2338.5+129.8</f>
        <v>2468.3</v>
      </c>
      <c r="G256" s="13">
        <v>0</v>
      </c>
      <c r="H256" s="13"/>
      <c r="I256" s="13"/>
      <c r="J256" s="13"/>
      <c r="K256" s="13"/>
    </row>
    <row r="257" spans="1:11" s="5" customFormat="1" ht="15.75" customHeight="1">
      <c r="A257" s="13">
        <f t="shared" si="9"/>
        <v>253</v>
      </c>
      <c r="B257" s="25" t="s">
        <v>87</v>
      </c>
      <c r="C257" s="19">
        <v>9</v>
      </c>
      <c r="D257" s="18">
        <f t="shared" si="11"/>
        <v>3534.4</v>
      </c>
      <c r="E257" s="13">
        <v>3534.4</v>
      </c>
      <c r="F257" s="13">
        <v>2370.7</v>
      </c>
      <c r="G257" s="13">
        <v>0</v>
      </c>
      <c r="H257" s="13"/>
      <c r="I257" s="13"/>
      <c r="J257" s="13"/>
      <c r="K257" s="13"/>
    </row>
    <row r="258" spans="1:11" s="5" customFormat="1" ht="15.75" customHeight="1">
      <c r="A258" s="13">
        <f t="shared" si="9"/>
        <v>254</v>
      </c>
      <c r="B258" s="25" t="s">
        <v>87</v>
      </c>
      <c r="C258" s="19" t="s">
        <v>88</v>
      </c>
      <c r="D258" s="18">
        <f t="shared" si="11"/>
        <v>4589.900000000001</v>
      </c>
      <c r="E258" s="18">
        <v>4024</v>
      </c>
      <c r="F258" s="18">
        <v>2642.7</v>
      </c>
      <c r="G258" s="13">
        <f>5.5+483.6</f>
        <v>489.1</v>
      </c>
      <c r="H258" s="13">
        <v>5.5</v>
      </c>
      <c r="I258" s="13"/>
      <c r="J258" s="13">
        <v>76.8</v>
      </c>
      <c r="K258" s="13"/>
    </row>
    <row r="259" spans="1:11" s="5" customFormat="1" ht="15.75" customHeight="1">
      <c r="A259" s="13">
        <f t="shared" si="9"/>
        <v>255</v>
      </c>
      <c r="B259" s="31" t="s">
        <v>89</v>
      </c>
      <c r="C259" s="15">
        <v>3</v>
      </c>
      <c r="D259" s="18">
        <f aca="true" t="shared" si="12" ref="D259:D307">E259+G259+J259+K259</f>
        <v>764.7</v>
      </c>
      <c r="E259" s="13">
        <f>723.1-90.2</f>
        <v>632.9</v>
      </c>
      <c r="F259" s="13">
        <v>383.8</v>
      </c>
      <c r="G259" s="13"/>
      <c r="H259" s="13"/>
      <c r="I259" s="13"/>
      <c r="J259" s="13">
        <f>41.6+90.2</f>
        <v>131.8</v>
      </c>
      <c r="K259" s="13"/>
    </row>
    <row r="260" spans="1:11" s="5" customFormat="1" ht="15.75" customHeight="1">
      <c r="A260" s="13">
        <f t="shared" si="9"/>
        <v>256</v>
      </c>
      <c r="B260" s="31" t="s">
        <v>89</v>
      </c>
      <c r="C260" s="15">
        <v>4</v>
      </c>
      <c r="D260" s="18">
        <f t="shared" si="12"/>
        <v>99.7</v>
      </c>
      <c r="E260" s="13">
        <v>99.7</v>
      </c>
      <c r="F260" s="13">
        <v>61.7</v>
      </c>
      <c r="G260" s="13"/>
      <c r="H260" s="13"/>
      <c r="I260" s="13"/>
      <c r="J260" s="13"/>
      <c r="K260" s="13"/>
    </row>
    <row r="261" spans="1:11" s="5" customFormat="1" ht="15.75" customHeight="1">
      <c r="A261" s="13">
        <f t="shared" si="9"/>
        <v>257</v>
      </c>
      <c r="B261" s="31" t="s">
        <v>89</v>
      </c>
      <c r="C261" s="15">
        <v>5</v>
      </c>
      <c r="D261" s="18">
        <f t="shared" si="12"/>
        <v>637.3</v>
      </c>
      <c r="E261" s="13">
        <v>637.3</v>
      </c>
      <c r="F261" s="13">
        <v>422.4</v>
      </c>
      <c r="G261" s="13"/>
      <c r="H261" s="13"/>
      <c r="I261" s="13"/>
      <c r="J261" s="13"/>
      <c r="K261" s="13"/>
    </row>
    <row r="262" spans="1:11" s="5" customFormat="1" ht="15.75" customHeight="1">
      <c r="A262" s="13">
        <f aca="true" t="shared" si="13" ref="A262:A325">A261+1</f>
        <v>258</v>
      </c>
      <c r="B262" s="31" t="s">
        <v>89</v>
      </c>
      <c r="C262" s="15">
        <v>6</v>
      </c>
      <c r="D262" s="18">
        <f t="shared" si="12"/>
        <v>98.6</v>
      </c>
      <c r="E262" s="13">
        <v>98.6</v>
      </c>
      <c r="F262" s="13">
        <v>60.5</v>
      </c>
      <c r="G262" s="13"/>
      <c r="H262" s="13"/>
      <c r="I262" s="13"/>
      <c r="J262" s="13"/>
      <c r="K262" s="13"/>
    </row>
    <row r="263" spans="1:11" s="5" customFormat="1" ht="15.75" customHeight="1">
      <c r="A263" s="13">
        <f t="shared" si="13"/>
        <v>259</v>
      </c>
      <c r="B263" s="31" t="s">
        <v>89</v>
      </c>
      <c r="C263" s="15">
        <v>7</v>
      </c>
      <c r="D263" s="18">
        <f t="shared" si="12"/>
        <v>648.8000000000001</v>
      </c>
      <c r="E263" s="13">
        <f>654.7-5.9</f>
        <v>648.8000000000001</v>
      </c>
      <c r="F263" s="13">
        <v>430.8</v>
      </c>
      <c r="G263" s="13"/>
      <c r="H263" s="13"/>
      <c r="I263" s="13"/>
      <c r="J263" s="13"/>
      <c r="K263" s="13"/>
    </row>
    <row r="264" spans="1:11" s="5" customFormat="1" ht="15.75" customHeight="1">
      <c r="A264" s="13">
        <f t="shared" si="13"/>
        <v>260</v>
      </c>
      <c r="B264" s="31" t="s">
        <v>89</v>
      </c>
      <c r="C264" s="15">
        <v>8</v>
      </c>
      <c r="D264" s="18">
        <f t="shared" si="12"/>
        <v>204.1</v>
      </c>
      <c r="E264" s="13">
        <v>204.1</v>
      </c>
      <c r="F264" s="13">
        <f>121.8+8.2</f>
        <v>130</v>
      </c>
      <c r="G264" s="13"/>
      <c r="H264" s="13"/>
      <c r="I264" s="13"/>
      <c r="J264" s="13"/>
      <c r="K264" s="13"/>
    </row>
    <row r="265" spans="1:11" s="5" customFormat="1" ht="15.75" customHeight="1">
      <c r="A265" s="13">
        <f t="shared" si="13"/>
        <v>261</v>
      </c>
      <c r="B265" s="31" t="s">
        <v>89</v>
      </c>
      <c r="C265" s="15">
        <v>18</v>
      </c>
      <c r="D265" s="18">
        <f t="shared" si="12"/>
        <v>46.2</v>
      </c>
      <c r="E265" s="13">
        <v>46.2</v>
      </c>
      <c r="F265" s="13">
        <v>32.5</v>
      </c>
      <c r="G265" s="13"/>
      <c r="H265" s="13"/>
      <c r="I265" s="13"/>
      <c r="J265" s="13"/>
      <c r="K265" s="13"/>
    </row>
    <row r="266" spans="1:11" s="5" customFormat="1" ht="15.75" customHeight="1">
      <c r="A266" s="13">
        <f t="shared" si="13"/>
        <v>262</v>
      </c>
      <c r="B266" s="31" t="s">
        <v>89</v>
      </c>
      <c r="C266" s="15">
        <v>25</v>
      </c>
      <c r="D266" s="18">
        <f t="shared" si="12"/>
        <v>98.2</v>
      </c>
      <c r="E266" s="13">
        <v>98.2</v>
      </c>
      <c r="F266" s="13">
        <v>62.8</v>
      </c>
      <c r="G266" s="13"/>
      <c r="H266" s="13"/>
      <c r="I266" s="13"/>
      <c r="J266" s="13"/>
      <c r="K266" s="13"/>
    </row>
    <row r="267" spans="1:11" s="5" customFormat="1" ht="15.75" customHeight="1">
      <c r="A267" s="13">
        <f t="shared" si="13"/>
        <v>263</v>
      </c>
      <c r="B267" s="31" t="s">
        <v>89</v>
      </c>
      <c r="C267" s="15">
        <v>29</v>
      </c>
      <c r="D267" s="18">
        <f t="shared" si="12"/>
        <v>108</v>
      </c>
      <c r="E267" s="13">
        <f>106.5+1.5</f>
        <v>108</v>
      </c>
      <c r="F267" s="13">
        <f>58.1+7.4</f>
        <v>65.5</v>
      </c>
      <c r="G267" s="13"/>
      <c r="H267" s="13"/>
      <c r="I267" s="13"/>
      <c r="J267" s="13"/>
      <c r="K267" s="13"/>
    </row>
    <row r="268" spans="1:11" s="5" customFormat="1" ht="15.75" customHeight="1">
      <c r="A268" s="13">
        <f t="shared" si="13"/>
        <v>264</v>
      </c>
      <c r="B268" s="31" t="s">
        <v>89</v>
      </c>
      <c r="C268" s="15">
        <v>38</v>
      </c>
      <c r="D268" s="18">
        <f t="shared" si="12"/>
        <v>63.5</v>
      </c>
      <c r="E268" s="13">
        <v>63.5</v>
      </c>
      <c r="F268" s="13">
        <v>48.3</v>
      </c>
      <c r="G268" s="13"/>
      <c r="H268" s="13"/>
      <c r="I268" s="13"/>
      <c r="J268" s="13"/>
      <c r="K268" s="13"/>
    </row>
    <row r="269" spans="1:11" s="5" customFormat="1" ht="15.75" customHeight="1">
      <c r="A269" s="13">
        <f t="shared" si="13"/>
        <v>265</v>
      </c>
      <c r="B269" s="31" t="s">
        <v>89</v>
      </c>
      <c r="C269" s="15">
        <v>45</v>
      </c>
      <c r="D269" s="18">
        <f t="shared" si="12"/>
        <v>61.5</v>
      </c>
      <c r="E269" s="13">
        <v>61.5</v>
      </c>
      <c r="F269" s="13">
        <v>45.9</v>
      </c>
      <c r="G269" s="13"/>
      <c r="H269" s="13"/>
      <c r="I269" s="13"/>
      <c r="J269" s="13"/>
      <c r="K269" s="13"/>
    </row>
    <row r="270" spans="1:11" s="5" customFormat="1" ht="15.75" customHeight="1">
      <c r="A270" s="13">
        <f t="shared" si="13"/>
        <v>266</v>
      </c>
      <c r="B270" s="31" t="s">
        <v>90</v>
      </c>
      <c r="C270" s="15" t="s">
        <v>91</v>
      </c>
      <c r="D270" s="18">
        <f t="shared" si="12"/>
        <v>846.5</v>
      </c>
      <c r="E270" s="13">
        <v>846.5</v>
      </c>
      <c r="F270" s="13">
        <v>485.9</v>
      </c>
      <c r="G270" s="13"/>
      <c r="H270" s="13"/>
      <c r="I270" s="13"/>
      <c r="J270" s="13"/>
      <c r="K270" s="13"/>
    </row>
    <row r="271" spans="1:11" s="5" customFormat="1" ht="15.75" customHeight="1">
      <c r="A271" s="13">
        <f t="shared" si="13"/>
        <v>267</v>
      </c>
      <c r="B271" s="31" t="s">
        <v>90</v>
      </c>
      <c r="C271" s="15" t="s">
        <v>92</v>
      </c>
      <c r="D271" s="18">
        <f t="shared" si="12"/>
        <v>852.9</v>
      </c>
      <c r="E271" s="13">
        <v>852.9</v>
      </c>
      <c r="F271" s="13">
        <v>487.6</v>
      </c>
      <c r="G271" s="13"/>
      <c r="H271" s="13"/>
      <c r="I271" s="13"/>
      <c r="J271" s="13"/>
      <c r="K271" s="13"/>
    </row>
    <row r="272" spans="1:11" s="5" customFormat="1" ht="15.75" customHeight="1">
      <c r="A272" s="13">
        <f t="shared" si="13"/>
        <v>268</v>
      </c>
      <c r="B272" s="31" t="s">
        <v>9</v>
      </c>
      <c r="C272" s="15">
        <v>11</v>
      </c>
      <c r="D272" s="18">
        <f t="shared" si="12"/>
        <v>52.2</v>
      </c>
      <c r="E272" s="13">
        <v>52.2</v>
      </c>
      <c r="F272" s="13">
        <v>37.5</v>
      </c>
      <c r="G272" s="13"/>
      <c r="H272" s="13"/>
      <c r="I272" s="13"/>
      <c r="J272" s="13"/>
      <c r="K272" s="13"/>
    </row>
    <row r="273" spans="1:11" s="5" customFormat="1" ht="15.75" customHeight="1">
      <c r="A273" s="13">
        <f t="shared" si="13"/>
        <v>269</v>
      </c>
      <c r="B273" s="31" t="s">
        <v>9</v>
      </c>
      <c r="C273" s="15">
        <v>16</v>
      </c>
      <c r="D273" s="18">
        <f t="shared" si="12"/>
        <v>56.8</v>
      </c>
      <c r="E273" s="13">
        <v>56.8</v>
      </c>
      <c r="F273" s="13">
        <v>36.3</v>
      </c>
      <c r="G273" s="13"/>
      <c r="H273" s="13"/>
      <c r="I273" s="13"/>
      <c r="J273" s="13"/>
      <c r="K273" s="13"/>
    </row>
    <row r="274" spans="1:11" s="5" customFormat="1" ht="15.75" customHeight="1">
      <c r="A274" s="13">
        <f t="shared" si="13"/>
        <v>270</v>
      </c>
      <c r="B274" s="31" t="s">
        <v>9</v>
      </c>
      <c r="C274" s="15" t="s">
        <v>93</v>
      </c>
      <c r="D274" s="18">
        <f t="shared" si="12"/>
        <v>98.4</v>
      </c>
      <c r="E274" s="13">
        <v>98.4</v>
      </c>
      <c r="F274" s="13">
        <v>70.8</v>
      </c>
      <c r="G274" s="13"/>
      <c r="H274" s="13"/>
      <c r="I274" s="13"/>
      <c r="J274" s="13"/>
      <c r="K274" s="13"/>
    </row>
    <row r="275" spans="1:11" s="5" customFormat="1" ht="15.75" customHeight="1">
      <c r="A275" s="13">
        <f t="shared" si="13"/>
        <v>271</v>
      </c>
      <c r="B275" s="31" t="s">
        <v>9</v>
      </c>
      <c r="C275" s="15" t="s">
        <v>91</v>
      </c>
      <c r="D275" s="18">
        <f t="shared" si="12"/>
        <v>851.4</v>
      </c>
      <c r="E275" s="13">
        <v>851.4</v>
      </c>
      <c r="F275" s="13">
        <v>485.4</v>
      </c>
      <c r="G275" s="13"/>
      <c r="H275" s="13"/>
      <c r="I275" s="13"/>
      <c r="J275" s="13"/>
      <c r="K275" s="13"/>
    </row>
    <row r="276" spans="1:11" s="5" customFormat="1" ht="15.75" customHeight="1">
      <c r="A276" s="13">
        <f t="shared" si="13"/>
        <v>272</v>
      </c>
      <c r="B276" s="31" t="s">
        <v>94</v>
      </c>
      <c r="C276" s="15">
        <v>1</v>
      </c>
      <c r="D276" s="18">
        <f t="shared" si="12"/>
        <v>753.6</v>
      </c>
      <c r="E276" s="13">
        <v>753.6</v>
      </c>
      <c r="F276" s="13">
        <v>483.1</v>
      </c>
      <c r="G276" s="13"/>
      <c r="H276" s="13"/>
      <c r="I276" s="13"/>
      <c r="J276" s="13"/>
      <c r="K276" s="13"/>
    </row>
    <row r="277" spans="1:11" s="5" customFormat="1" ht="15.75" customHeight="1">
      <c r="A277" s="13">
        <f t="shared" si="13"/>
        <v>273</v>
      </c>
      <c r="B277" s="31" t="s">
        <v>94</v>
      </c>
      <c r="C277" s="15">
        <v>2</v>
      </c>
      <c r="D277" s="18">
        <f t="shared" si="12"/>
        <v>757.8</v>
      </c>
      <c r="E277" s="13">
        <v>757.8</v>
      </c>
      <c r="F277" s="13">
        <v>484.7</v>
      </c>
      <c r="G277" s="13"/>
      <c r="H277" s="13"/>
      <c r="I277" s="13"/>
      <c r="J277" s="13"/>
      <c r="K277" s="13"/>
    </row>
    <row r="278" spans="1:11" s="5" customFormat="1" ht="15.75" customHeight="1">
      <c r="A278" s="13">
        <f t="shared" si="13"/>
        <v>274</v>
      </c>
      <c r="B278" s="31" t="s">
        <v>94</v>
      </c>
      <c r="C278" s="15">
        <v>3</v>
      </c>
      <c r="D278" s="18">
        <f t="shared" si="12"/>
        <v>759</v>
      </c>
      <c r="E278" s="13">
        <v>759</v>
      </c>
      <c r="F278" s="13">
        <v>484.1</v>
      </c>
      <c r="G278" s="13"/>
      <c r="H278" s="13"/>
      <c r="I278" s="13"/>
      <c r="J278" s="13"/>
      <c r="K278" s="13"/>
    </row>
    <row r="279" spans="1:11" s="5" customFormat="1" ht="15.75" customHeight="1">
      <c r="A279" s="13">
        <f t="shared" si="13"/>
        <v>275</v>
      </c>
      <c r="B279" s="31" t="s">
        <v>94</v>
      </c>
      <c r="C279" s="15">
        <v>4</v>
      </c>
      <c r="D279" s="18">
        <f t="shared" si="12"/>
        <v>751.9</v>
      </c>
      <c r="E279" s="13">
        <v>751.9</v>
      </c>
      <c r="F279" s="13">
        <v>487.5</v>
      </c>
      <c r="G279" s="13"/>
      <c r="H279" s="13"/>
      <c r="I279" s="13"/>
      <c r="J279" s="13"/>
      <c r="K279" s="13"/>
    </row>
    <row r="280" spans="1:11" s="5" customFormat="1" ht="15.75" customHeight="1">
      <c r="A280" s="13">
        <f t="shared" si="13"/>
        <v>276</v>
      </c>
      <c r="B280" s="31" t="s">
        <v>94</v>
      </c>
      <c r="C280" s="15">
        <v>5</v>
      </c>
      <c r="D280" s="18">
        <f t="shared" si="12"/>
        <v>770.6</v>
      </c>
      <c r="E280" s="13">
        <v>770.6</v>
      </c>
      <c r="F280" s="13">
        <v>474.9</v>
      </c>
      <c r="G280" s="13"/>
      <c r="H280" s="13"/>
      <c r="I280" s="13"/>
      <c r="J280" s="13"/>
      <c r="K280" s="13"/>
    </row>
    <row r="281" spans="1:11" s="5" customFormat="1" ht="15.75" customHeight="1">
      <c r="A281" s="13">
        <f t="shared" si="13"/>
        <v>277</v>
      </c>
      <c r="B281" s="31" t="s">
        <v>94</v>
      </c>
      <c r="C281" s="15">
        <v>6</v>
      </c>
      <c r="D281" s="18">
        <f t="shared" si="12"/>
        <v>763.5</v>
      </c>
      <c r="E281" s="13">
        <v>763.5</v>
      </c>
      <c r="F281" s="13">
        <v>489.8</v>
      </c>
      <c r="G281" s="13"/>
      <c r="H281" s="13"/>
      <c r="I281" s="13"/>
      <c r="J281" s="13"/>
      <c r="K281" s="13"/>
    </row>
    <row r="282" spans="1:11" s="5" customFormat="1" ht="15.75" customHeight="1">
      <c r="A282" s="13">
        <f t="shared" si="13"/>
        <v>278</v>
      </c>
      <c r="B282" s="31" t="s">
        <v>94</v>
      </c>
      <c r="C282" s="15">
        <v>7</v>
      </c>
      <c r="D282" s="18">
        <f t="shared" si="12"/>
        <v>747.3</v>
      </c>
      <c r="E282" s="13">
        <v>747.3</v>
      </c>
      <c r="F282" s="13">
        <v>457.2</v>
      </c>
      <c r="G282" s="13"/>
      <c r="H282" s="13"/>
      <c r="I282" s="13"/>
      <c r="J282" s="13"/>
      <c r="K282" s="13"/>
    </row>
    <row r="283" spans="1:11" s="5" customFormat="1" ht="15.75" customHeight="1">
      <c r="A283" s="13">
        <f t="shared" si="13"/>
        <v>279</v>
      </c>
      <c r="B283" s="31" t="s">
        <v>94</v>
      </c>
      <c r="C283" s="15">
        <v>8</v>
      </c>
      <c r="D283" s="18">
        <f t="shared" si="12"/>
        <v>740</v>
      </c>
      <c r="E283" s="13">
        <v>740</v>
      </c>
      <c r="F283" s="13">
        <v>450.7</v>
      </c>
      <c r="G283" s="13"/>
      <c r="H283" s="13"/>
      <c r="I283" s="13"/>
      <c r="J283" s="13"/>
      <c r="K283" s="13"/>
    </row>
    <row r="284" spans="1:11" s="5" customFormat="1" ht="15.75" customHeight="1">
      <c r="A284" s="13">
        <f t="shared" si="13"/>
        <v>280</v>
      </c>
      <c r="B284" s="31" t="s">
        <v>94</v>
      </c>
      <c r="C284" s="15">
        <v>9</v>
      </c>
      <c r="D284" s="18">
        <f t="shared" si="12"/>
        <v>3214.8999999999996</v>
      </c>
      <c r="E284" s="13">
        <f>3199.2-66.3</f>
        <v>3132.8999999999996</v>
      </c>
      <c r="F284" s="13">
        <f>1844.3-41</f>
        <v>1803.3</v>
      </c>
      <c r="G284" s="13">
        <v>66.3</v>
      </c>
      <c r="H284" s="13"/>
      <c r="I284" s="13"/>
      <c r="J284" s="13">
        <v>15.7</v>
      </c>
      <c r="K284" s="13"/>
    </row>
    <row r="285" spans="1:11" s="5" customFormat="1" ht="15.75" customHeight="1">
      <c r="A285" s="13">
        <f t="shared" si="13"/>
        <v>281</v>
      </c>
      <c r="B285" s="31" t="s">
        <v>94</v>
      </c>
      <c r="C285" s="15">
        <v>10</v>
      </c>
      <c r="D285" s="18">
        <f t="shared" si="12"/>
        <v>3282.7000000000003</v>
      </c>
      <c r="E285" s="13">
        <f>3104.4+69</f>
        <v>3173.4</v>
      </c>
      <c r="F285" s="13">
        <v>1848</v>
      </c>
      <c r="G285" s="13">
        <v>69</v>
      </c>
      <c r="H285" s="13"/>
      <c r="I285" s="13"/>
      <c r="J285" s="13">
        <f>116.6-76.3</f>
        <v>40.3</v>
      </c>
      <c r="K285" s="13"/>
    </row>
    <row r="286" spans="1:11" s="5" customFormat="1" ht="15.75" customHeight="1">
      <c r="A286" s="13">
        <f t="shared" si="13"/>
        <v>282</v>
      </c>
      <c r="B286" s="31" t="s">
        <v>94</v>
      </c>
      <c r="C286" s="15">
        <v>13</v>
      </c>
      <c r="D286" s="18">
        <f t="shared" si="12"/>
        <v>3924.2999999999997</v>
      </c>
      <c r="E286" s="13">
        <v>3842.1</v>
      </c>
      <c r="F286" s="13">
        <v>2271.2</v>
      </c>
      <c r="G286" s="13"/>
      <c r="H286" s="13"/>
      <c r="I286" s="13"/>
      <c r="J286" s="13">
        <v>82.2</v>
      </c>
      <c r="K286" s="13"/>
    </row>
    <row r="287" spans="1:11" s="5" customFormat="1" ht="15.75" customHeight="1">
      <c r="A287" s="13">
        <f t="shared" si="13"/>
        <v>283</v>
      </c>
      <c r="B287" s="31" t="s">
        <v>95</v>
      </c>
      <c r="C287" s="15">
        <v>1</v>
      </c>
      <c r="D287" s="18">
        <f t="shared" si="12"/>
        <v>5706.799999999999</v>
      </c>
      <c r="E287" s="18">
        <v>3984.7</v>
      </c>
      <c r="F287" s="13">
        <v>2651.3</v>
      </c>
      <c r="G287" s="18">
        <v>1432.7</v>
      </c>
      <c r="H287" s="13"/>
      <c r="I287" s="13"/>
      <c r="J287" s="18">
        <v>289.4</v>
      </c>
      <c r="K287" s="18"/>
    </row>
    <row r="288" spans="1:11" s="5" customFormat="1" ht="15.75" customHeight="1">
      <c r="A288" s="13">
        <f t="shared" si="13"/>
        <v>284</v>
      </c>
      <c r="B288" s="31" t="s">
        <v>95</v>
      </c>
      <c r="C288" s="26">
        <v>3</v>
      </c>
      <c r="D288" s="18">
        <f t="shared" si="12"/>
        <v>1388.6</v>
      </c>
      <c r="E288" s="13">
        <v>1388.6</v>
      </c>
      <c r="F288" s="13">
        <v>849.9</v>
      </c>
      <c r="G288" s="13"/>
      <c r="H288" s="13"/>
      <c r="I288" s="13"/>
      <c r="J288" s="13"/>
      <c r="K288" s="13"/>
    </row>
    <row r="289" spans="1:11" s="5" customFormat="1" ht="15.75" customHeight="1">
      <c r="A289" s="13">
        <f t="shared" si="13"/>
        <v>285</v>
      </c>
      <c r="B289" s="31" t="s">
        <v>95</v>
      </c>
      <c r="C289" s="19">
        <v>13</v>
      </c>
      <c r="D289" s="18">
        <f t="shared" si="12"/>
        <v>615.2</v>
      </c>
      <c r="E289" s="18">
        <v>615.2</v>
      </c>
      <c r="F289" s="18">
        <v>413.9</v>
      </c>
      <c r="G289" s="13">
        <v>0</v>
      </c>
      <c r="H289" s="13"/>
      <c r="I289" s="13"/>
      <c r="J289" s="13"/>
      <c r="K289" s="13"/>
    </row>
    <row r="290" spans="1:11" s="5" customFormat="1" ht="15.75" customHeight="1">
      <c r="A290" s="13">
        <f t="shared" si="13"/>
        <v>286</v>
      </c>
      <c r="B290" s="31" t="s">
        <v>95</v>
      </c>
      <c r="C290" s="32" t="s">
        <v>96</v>
      </c>
      <c r="D290" s="18">
        <f t="shared" si="12"/>
        <v>3252.4</v>
      </c>
      <c r="E290" s="33">
        <v>3220.9</v>
      </c>
      <c r="F290" s="33">
        <v>2088.8</v>
      </c>
      <c r="G290" s="33"/>
      <c r="H290" s="33"/>
      <c r="I290" s="33"/>
      <c r="J290" s="33">
        <v>31.5</v>
      </c>
      <c r="K290" s="33"/>
    </row>
    <row r="291" spans="1:11" s="5" customFormat="1" ht="15.75" customHeight="1">
      <c r="A291" s="13">
        <f t="shared" si="13"/>
        <v>287</v>
      </c>
      <c r="B291" s="31" t="s">
        <v>12</v>
      </c>
      <c r="C291" s="15" t="s">
        <v>97</v>
      </c>
      <c r="D291" s="18">
        <f t="shared" si="12"/>
        <v>3623.5</v>
      </c>
      <c r="E291" s="13">
        <v>3556.2</v>
      </c>
      <c r="F291" s="13">
        <v>1869.1</v>
      </c>
      <c r="G291" s="13"/>
      <c r="H291" s="13"/>
      <c r="I291" s="13"/>
      <c r="J291" s="13">
        <v>67.3</v>
      </c>
      <c r="K291" s="13"/>
    </row>
    <row r="292" spans="1:11" s="5" customFormat="1" ht="15.75" customHeight="1">
      <c r="A292" s="13">
        <f t="shared" si="13"/>
        <v>288</v>
      </c>
      <c r="B292" s="25" t="s">
        <v>98</v>
      </c>
      <c r="C292" s="19">
        <v>3</v>
      </c>
      <c r="D292" s="18">
        <f t="shared" si="12"/>
        <v>3595.9</v>
      </c>
      <c r="E292" s="18">
        <v>2591.3</v>
      </c>
      <c r="F292" s="18">
        <v>1680.3</v>
      </c>
      <c r="G292" s="13">
        <v>958.4</v>
      </c>
      <c r="H292" s="13">
        <v>958.4</v>
      </c>
      <c r="I292" s="13"/>
      <c r="J292" s="13">
        <v>46.2</v>
      </c>
      <c r="K292" s="13">
        <v>0</v>
      </c>
    </row>
    <row r="293" spans="1:11" s="5" customFormat="1" ht="15.75" customHeight="1">
      <c r="A293" s="13">
        <f t="shared" si="13"/>
        <v>289</v>
      </c>
      <c r="B293" s="25" t="s">
        <v>98</v>
      </c>
      <c r="C293" s="26">
        <v>9</v>
      </c>
      <c r="D293" s="18">
        <f t="shared" si="12"/>
        <v>5149.9</v>
      </c>
      <c r="E293" s="13">
        <v>4963.9</v>
      </c>
      <c r="F293" s="13">
        <v>2672.3</v>
      </c>
      <c r="G293" s="13"/>
      <c r="H293" s="13"/>
      <c r="I293" s="13"/>
      <c r="J293" s="13">
        <f>100.2+85.8</f>
        <v>186</v>
      </c>
      <c r="K293" s="13"/>
    </row>
    <row r="294" spans="1:11" s="5" customFormat="1" ht="15.75" customHeight="1">
      <c r="A294" s="13">
        <f t="shared" si="13"/>
        <v>290</v>
      </c>
      <c r="B294" s="25" t="s">
        <v>21</v>
      </c>
      <c r="C294" s="19">
        <v>52</v>
      </c>
      <c r="D294" s="18">
        <f t="shared" si="12"/>
        <v>2821.0000000000005</v>
      </c>
      <c r="E294" s="18">
        <v>2425.8</v>
      </c>
      <c r="F294" s="18">
        <f>1551.4+7.4</f>
        <v>1558.8000000000002</v>
      </c>
      <c r="G294" s="21">
        <f>413-37.6</f>
        <v>375.4</v>
      </c>
      <c r="H294" s="13"/>
      <c r="I294" s="13"/>
      <c r="J294" s="13">
        <v>19.8</v>
      </c>
      <c r="K294" s="13"/>
    </row>
    <row r="295" spans="1:11" s="5" customFormat="1" ht="15.75" customHeight="1">
      <c r="A295" s="13">
        <f t="shared" si="13"/>
        <v>291</v>
      </c>
      <c r="B295" s="25" t="s">
        <v>21</v>
      </c>
      <c r="C295" s="19">
        <v>67</v>
      </c>
      <c r="D295" s="18">
        <f t="shared" si="12"/>
        <v>4437.8</v>
      </c>
      <c r="E295" s="18">
        <v>4359.8</v>
      </c>
      <c r="F295" s="18">
        <v>3002.2</v>
      </c>
      <c r="G295" s="13"/>
      <c r="H295" s="13"/>
      <c r="I295" s="13"/>
      <c r="J295" s="13">
        <v>78</v>
      </c>
      <c r="K295" s="13">
        <v>0</v>
      </c>
    </row>
    <row r="296" spans="1:11" s="5" customFormat="1" ht="15.75" customHeight="1">
      <c r="A296" s="13">
        <f t="shared" si="13"/>
        <v>292</v>
      </c>
      <c r="B296" s="25" t="s">
        <v>21</v>
      </c>
      <c r="C296" s="19">
        <v>69</v>
      </c>
      <c r="D296" s="18">
        <f t="shared" si="12"/>
        <v>6105.6</v>
      </c>
      <c r="E296" s="18">
        <v>4244.3</v>
      </c>
      <c r="F296" s="18">
        <v>2691.5</v>
      </c>
      <c r="G296" s="13">
        <v>184.5</v>
      </c>
      <c r="H296" s="18">
        <v>184.5</v>
      </c>
      <c r="I296" s="18"/>
      <c r="J296" s="13">
        <v>65</v>
      </c>
      <c r="K296" s="13">
        <v>1611.8</v>
      </c>
    </row>
    <row r="297" spans="1:11" s="5" customFormat="1" ht="15.75" customHeight="1">
      <c r="A297" s="13">
        <f t="shared" si="13"/>
        <v>293</v>
      </c>
      <c r="B297" s="25" t="s">
        <v>21</v>
      </c>
      <c r="C297" s="19">
        <v>77</v>
      </c>
      <c r="D297" s="18">
        <f t="shared" si="12"/>
        <v>3032.2000000000003</v>
      </c>
      <c r="E297" s="18">
        <v>2963.3</v>
      </c>
      <c r="F297" s="18">
        <v>1809.2</v>
      </c>
      <c r="G297" s="13"/>
      <c r="H297" s="13"/>
      <c r="I297" s="13"/>
      <c r="J297" s="13">
        <v>68.9</v>
      </c>
      <c r="K297" s="13">
        <v>0</v>
      </c>
    </row>
    <row r="298" spans="1:11" s="5" customFormat="1" ht="15.75" customHeight="1">
      <c r="A298" s="13">
        <f t="shared" si="13"/>
        <v>294</v>
      </c>
      <c r="B298" s="25" t="s">
        <v>21</v>
      </c>
      <c r="C298" s="19" t="s">
        <v>99</v>
      </c>
      <c r="D298" s="18">
        <f t="shared" si="12"/>
        <v>4408</v>
      </c>
      <c r="E298" s="18">
        <v>4364.3</v>
      </c>
      <c r="F298" s="18">
        <v>3000.6</v>
      </c>
      <c r="G298" s="13"/>
      <c r="H298" s="13"/>
      <c r="I298" s="13"/>
      <c r="J298" s="13">
        <v>43.7</v>
      </c>
      <c r="K298" s="13">
        <v>0</v>
      </c>
    </row>
    <row r="299" spans="1:11" s="5" customFormat="1" ht="15.75" customHeight="1">
      <c r="A299" s="13">
        <f t="shared" si="13"/>
        <v>295</v>
      </c>
      <c r="B299" s="31" t="s">
        <v>100</v>
      </c>
      <c r="C299" s="26">
        <v>1</v>
      </c>
      <c r="D299" s="18">
        <f t="shared" si="12"/>
        <v>659.3000000000001</v>
      </c>
      <c r="E299" s="13">
        <v>634.7</v>
      </c>
      <c r="F299" s="13">
        <v>407.9</v>
      </c>
      <c r="G299" s="13"/>
      <c r="H299" s="13"/>
      <c r="I299" s="13"/>
      <c r="J299" s="13">
        <v>24.6</v>
      </c>
      <c r="K299" s="13"/>
    </row>
    <row r="300" spans="1:11" s="5" customFormat="1" ht="15.75" customHeight="1">
      <c r="A300" s="13">
        <f t="shared" si="13"/>
        <v>296</v>
      </c>
      <c r="B300" s="31" t="s">
        <v>100</v>
      </c>
      <c r="C300" s="26">
        <v>3</v>
      </c>
      <c r="D300" s="18">
        <f t="shared" si="12"/>
        <v>669</v>
      </c>
      <c r="E300" s="13">
        <v>669</v>
      </c>
      <c r="F300" s="13">
        <v>403.4</v>
      </c>
      <c r="G300" s="13"/>
      <c r="H300" s="13"/>
      <c r="I300" s="13"/>
      <c r="J300" s="13"/>
      <c r="K300" s="13"/>
    </row>
    <row r="301" spans="1:11" s="5" customFormat="1" ht="15.75" customHeight="1">
      <c r="A301" s="13">
        <f t="shared" si="13"/>
        <v>297</v>
      </c>
      <c r="B301" s="31" t="s">
        <v>100</v>
      </c>
      <c r="C301" s="26">
        <v>6</v>
      </c>
      <c r="D301" s="18">
        <f t="shared" si="12"/>
        <v>676.3000000000001</v>
      </c>
      <c r="E301" s="13">
        <f>672.2+4.1</f>
        <v>676.3000000000001</v>
      </c>
      <c r="F301" s="13">
        <v>407</v>
      </c>
      <c r="G301" s="13"/>
      <c r="H301" s="13"/>
      <c r="I301" s="13"/>
      <c r="J301" s="13">
        <f>4.1-4.1</f>
        <v>0</v>
      </c>
      <c r="K301" s="13"/>
    </row>
    <row r="302" spans="1:11" s="5" customFormat="1" ht="15.75" customHeight="1">
      <c r="A302" s="13">
        <f t="shared" si="13"/>
        <v>298</v>
      </c>
      <c r="B302" s="31" t="s">
        <v>100</v>
      </c>
      <c r="C302" s="26">
        <v>7</v>
      </c>
      <c r="D302" s="18">
        <f t="shared" si="12"/>
        <v>672.5</v>
      </c>
      <c r="E302" s="13">
        <v>672.5</v>
      </c>
      <c r="F302" s="13">
        <v>399.6</v>
      </c>
      <c r="G302" s="13"/>
      <c r="H302" s="13"/>
      <c r="I302" s="13"/>
      <c r="J302" s="13"/>
      <c r="K302" s="13"/>
    </row>
    <row r="303" spans="1:11" s="5" customFormat="1" ht="15.75" customHeight="1">
      <c r="A303" s="13">
        <f t="shared" si="13"/>
        <v>299</v>
      </c>
      <c r="B303" s="31" t="s">
        <v>100</v>
      </c>
      <c r="C303" s="26">
        <v>8</v>
      </c>
      <c r="D303" s="18">
        <f t="shared" si="12"/>
        <v>702.7</v>
      </c>
      <c r="E303" s="13">
        <f>702.7-38.5</f>
        <v>664.2</v>
      </c>
      <c r="F303" s="13">
        <v>401.1</v>
      </c>
      <c r="G303" s="13"/>
      <c r="H303" s="13"/>
      <c r="I303" s="13"/>
      <c r="J303" s="13">
        <v>38.5</v>
      </c>
      <c r="K303" s="13"/>
    </row>
    <row r="304" spans="1:11" s="5" customFormat="1" ht="15.75" customHeight="1">
      <c r="A304" s="13">
        <f t="shared" si="13"/>
        <v>300</v>
      </c>
      <c r="B304" s="31" t="s">
        <v>100</v>
      </c>
      <c r="C304" s="26">
        <v>9</v>
      </c>
      <c r="D304" s="18">
        <f t="shared" si="12"/>
        <v>660.9</v>
      </c>
      <c r="E304" s="13">
        <v>660.9</v>
      </c>
      <c r="F304" s="13">
        <v>392.7</v>
      </c>
      <c r="G304" s="13"/>
      <c r="H304" s="13"/>
      <c r="I304" s="13"/>
      <c r="J304" s="13"/>
      <c r="K304" s="13"/>
    </row>
    <row r="305" spans="1:11" s="5" customFormat="1" ht="15.75" customHeight="1">
      <c r="A305" s="13">
        <f t="shared" si="13"/>
        <v>301</v>
      </c>
      <c r="B305" s="31" t="s">
        <v>100</v>
      </c>
      <c r="C305" s="26">
        <v>11</v>
      </c>
      <c r="D305" s="18">
        <f t="shared" si="12"/>
        <v>3192.7000000000003</v>
      </c>
      <c r="E305" s="21">
        <f>2756.3-44.1-47.6</f>
        <v>2664.6000000000004</v>
      </c>
      <c r="F305" s="13">
        <f>1710.1-38</f>
        <v>1672.1</v>
      </c>
      <c r="G305" s="13">
        <f>47.6+438</f>
        <v>485.6</v>
      </c>
      <c r="H305" s="13"/>
      <c r="I305" s="13"/>
      <c r="J305" s="13">
        <f>44.1-1.6</f>
        <v>42.5</v>
      </c>
      <c r="K305" s="13"/>
    </row>
    <row r="306" spans="1:11" s="5" customFormat="1" ht="15.75" customHeight="1">
      <c r="A306" s="13">
        <f t="shared" si="13"/>
        <v>302</v>
      </c>
      <c r="B306" s="31" t="s">
        <v>100</v>
      </c>
      <c r="C306" s="26">
        <v>13</v>
      </c>
      <c r="D306" s="18">
        <f t="shared" si="12"/>
        <v>1403.6</v>
      </c>
      <c r="E306" s="13">
        <v>1403.6</v>
      </c>
      <c r="F306" s="13">
        <v>931.4</v>
      </c>
      <c r="G306" s="13"/>
      <c r="H306" s="13"/>
      <c r="I306" s="13"/>
      <c r="J306" s="13"/>
      <c r="K306" s="13"/>
    </row>
    <row r="307" spans="1:11" s="5" customFormat="1" ht="15.75" customHeight="1">
      <c r="A307" s="13">
        <f t="shared" si="13"/>
        <v>303</v>
      </c>
      <c r="B307" s="31" t="s">
        <v>100</v>
      </c>
      <c r="C307" s="26">
        <v>14</v>
      </c>
      <c r="D307" s="18">
        <f t="shared" si="12"/>
        <v>962.8</v>
      </c>
      <c r="E307" s="13">
        <v>962.8</v>
      </c>
      <c r="F307" s="13">
        <v>624.3</v>
      </c>
      <c r="G307" s="13"/>
      <c r="H307" s="13"/>
      <c r="I307" s="13"/>
      <c r="J307" s="13"/>
      <c r="K307" s="13"/>
    </row>
    <row r="308" spans="1:11" s="5" customFormat="1" ht="15.75" customHeight="1">
      <c r="A308" s="13">
        <f t="shared" si="13"/>
        <v>304</v>
      </c>
      <c r="B308" s="31" t="s">
        <v>100</v>
      </c>
      <c r="C308" s="26">
        <v>15</v>
      </c>
      <c r="D308" s="18">
        <v>897.5</v>
      </c>
      <c r="E308" s="13">
        <v>897.5</v>
      </c>
      <c r="F308" s="13">
        <v>599.9</v>
      </c>
      <c r="G308" s="13"/>
      <c r="H308" s="13"/>
      <c r="I308" s="13"/>
      <c r="J308" s="13"/>
      <c r="K308" s="13"/>
    </row>
    <row r="309" spans="1:11" s="5" customFormat="1" ht="15.75" customHeight="1">
      <c r="A309" s="13">
        <f t="shared" si="13"/>
        <v>305</v>
      </c>
      <c r="B309" s="31" t="s">
        <v>100</v>
      </c>
      <c r="C309" s="15">
        <v>16</v>
      </c>
      <c r="D309" s="18">
        <f aca="true" t="shared" si="14" ref="D309:D372">E309+G309+J309+K309</f>
        <v>822.6</v>
      </c>
      <c r="E309" s="18">
        <v>767.4</v>
      </c>
      <c r="F309" s="13">
        <v>465.3</v>
      </c>
      <c r="G309" s="18"/>
      <c r="H309" s="13"/>
      <c r="I309" s="13"/>
      <c r="J309" s="13">
        <v>55.2</v>
      </c>
      <c r="K309" s="18"/>
    </row>
    <row r="310" spans="1:11" s="5" customFormat="1" ht="15.75" customHeight="1">
      <c r="A310" s="13">
        <f t="shared" si="13"/>
        <v>306</v>
      </c>
      <c r="B310" s="31" t="s">
        <v>100</v>
      </c>
      <c r="C310" s="26">
        <v>17</v>
      </c>
      <c r="D310" s="18">
        <f t="shared" si="14"/>
        <v>1398.9</v>
      </c>
      <c r="E310" s="13">
        <v>1398.9</v>
      </c>
      <c r="F310" s="13">
        <v>912</v>
      </c>
      <c r="G310" s="13"/>
      <c r="H310" s="13"/>
      <c r="I310" s="13"/>
      <c r="J310" s="13"/>
      <c r="K310" s="13"/>
    </row>
    <row r="311" spans="1:11" s="5" customFormat="1" ht="15.75" customHeight="1">
      <c r="A311" s="13">
        <f t="shared" si="13"/>
        <v>307</v>
      </c>
      <c r="B311" s="31" t="s">
        <v>100</v>
      </c>
      <c r="C311" s="26">
        <v>18</v>
      </c>
      <c r="D311" s="18">
        <f t="shared" si="14"/>
        <v>1326.8</v>
      </c>
      <c r="E311" s="13">
        <v>1326.8</v>
      </c>
      <c r="F311" s="13">
        <v>758.1</v>
      </c>
      <c r="G311" s="13"/>
      <c r="H311" s="13"/>
      <c r="I311" s="13"/>
      <c r="J311" s="13"/>
      <c r="K311" s="13"/>
    </row>
    <row r="312" spans="1:11" s="5" customFormat="1" ht="15.75" customHeight="1">
      <c r="A312" s="13">
        <f t="shared" si="13"/>
        <v>308</v>
      </c>
      <c r="B312" s="31" t="s">
        <v>100</v>
      </c>
      <c r="C312" s="26">
        <v>20</v>
      </c>
      <c r="D312" s="18">
        <f t="shared" si="14"/>
        <v>1390.9</v>
      </c>
      <c r="E312" s="13">
        <v>1390.9</v>
      </c>
      <c r="F312" s="13">
        <v>853.3</v>
      </c>
      <c r="G312" s="13"/>
      <c r="H312" s="13"/>
      <c r="I312" s="13"/>
      <c r="J312" s="13"/>
      <c r="K312" s="13"/>
    </row>
    <row r="313" spans="1:11" s="5" customFormat="1" ht="15.75" customHeight="1">
      <c r="A313" s="13">
        <f t="shared" si="13"/>
        <v>309</v>
      </c>
      <c r="B313" s="31" t="s">
        <v>100</v>
      </c>
      <c r="C313" s="19">
        <v>24</v>
      </c>
      <c r="D313" s="18">
        <f t="shared" si="14"/>
        <v>532</v>
      </c>
      <c r="E313" s="18">
        <v>513.8</v>
      </c>
      <c r="F313" s="18">
        <v>347.7</v>
      </c>
      <c r="G313" s="13"/>
      <c r="H313" s="13"/>
      <c r="I313" s="13"/>
      <c r="J313" s="13">
        <v>18.2</v>
      </c>
      <c r="K313" s="13"/>
    </row>
    <row r="314" spans="1:11" s="5" customFormat="1" ht="15.75" customHeight="1">
      <c r="A314" s="13">
        <f t="shared" si="13"/>
        <v>310</v>
      </c>
      <c r="B314" s="31" t="s">
        <v>100</v>
      </c>
      <c r="C314" s="19">
        <v>26</v>
      </c>
      <c r="D314" s="18">
        <f t="shared" si="14"/>
        <v>516.2</v>
      </c>
      <c r="E314" s="18">
        <v>516.2</v>
      </c>
      <c r="F314" s="18">
        <v>351.6</v>
      </c>
      <c r="G314" s="13"/>
      <c r="H314" s="13"/>
      <c r="I314" s="13"/>
      <c r="J314" s="13"/>
      <c r="K314" s="13"/>
    </row>
    <row r="315" spans="1:11" s="5" customFormat="1" ht="15.75" customHeight="1">
      <c r="A315" s="13">
        <f t="shared" si="13"/>
        <v>311</v>
      </c>
      <c r="B315" s="31" t="s">
        <v>100</v>
      </c>
      <c r="C315" s="26" t="s">
        <v>101</v>
      </c>
      <c r="D315" s="18">
        <f t="shared" si="14"/>
        <v>3362.9</v>
      </c>
      <c r="E315" s="13">
        <f>2697.9+67.4</f>
        <v>2765.3</v>
      </c>
      <c r="F315" s="13">
        <v>1686.6</v>
      </c>
      <c r="G315" s="13">
        <v>586.9</v>
      </c>
      <c r="H315" s="13"/>
      <c r="I315" s="13"/>
      <c r="J315" s="13">
        <v>10.7</v>
      </c>
      <c r="K315" s="13"/>
    </row>
    <row r="316" spans="1:11" s="5" customFormat="1" ht="15.75" customHeight="1">
      <c r="A316" s="13">
        <f t="shared" si="13"/>
        <v>312</v>
      </c>
      <c r="B316" s="31" t="s">
        <v>100</v>
      </c>
      <c r="C316" s="26" t="s">
        <v>102</v>
      </c>
      <c r="D316" s="18">
        <f t="shared" si="14"/>
        <v>3390.6</v>
      </c>
      <c r="E316" s="13">
        <v>2762.7</v>
      </c>
      <c r="F316" s="13">
        <v>1693.7</v>
      </c>
      <c r="G316" s="13">
        <v>583.4</v>
      </c>
      <c r="H316" s="13"/>
      <c r="I316" s="13"/>
      <c r="J316" s="13">
        <v>44.5</v>
      </c>
      <c r="K316" s="13"/>
    </row>
    <row r="317" spans="1:11" s="5" customFormat="1" ht="15.75" customHeight="1">
      <c r="A317" s="13">
        <f t="shared" si="13"/>
        <v>313</v>
      </c>
      <c r="B317" s="31" t="s">
        <v>100</v>
      </c>
      <c r="C317" s="26" t="s">
        <v>103</v>
      </c>
      <c r="D317" s="18">
        <f t="shared" si="14"/>
        <v>633.5</v>
      </c>
      <c r="E317" s="13">
        <v>426.4</v>
      </c>
      <c r="F317" s="13">
        <v>278.2</v>
      </c>
      <c r="G317" s="13">
        <v>207.1</v>
      </c>
      <c r="H317" s="13">
        <v>204.5</v>
      </c>
      <c r="I317" s="13"/>
      <c r="J317" s="13"/>
      <c r="K317" s="13"/>
    </row>
    <row r="318" spans="1:11" s="5" customFormat="1" ht="15.75" customHeight="1">
      <c r="A318" s="13">
        <f t="shared" si="13"/>
        <v>314</v>
      </c>
      <c r="B318" s="31" t="s">
        <v>100</v>
      </c>
      <c r="C318" s="19" t="s">
        <v>104</v>
      </c>
      <c r="D318" s="18">
        <f t="shared" si="14"/>
        <v>3324</v>
      </c>
      <c r="E318" s="18">
        <f>2749.5+0.6</f>
        <v>2750.1</v>
      </c>
      <c r="F318" s="18">
        <f>1677.3-12.9</f>
        <v>1664.3999999999999</v>
      </c>
      <c r="G318" s="13">
        <f>489.7+3.9</f>
        <v>493.59999999999997</v>
      </c>
      <c r="H318" s="13"/>
      <c r="I318" s="13"/>
      <c r="J318" s="13">
        <v>80.3</v>
      </c>
      <c r="K318" s="21"/>
    </row>
    <row r="319" spans="1:11" s="5" customFormat="1" ht="15.75" customHeight="1">
      <c r="A319" s="13">
        <f t="shared" si="13"/>
        <v>315</v>
      </c>
      <c r="B319" s="31" t="s">
        <v>105</v>
      </c>
      <c r="C319" s="19">
        <v>2</v>
      </c>
      <c r="D319" s="18">
        <f t="shared" si="14"/>
        <v>462.5</v>
      </c>
      <c r="E319" s="18">
        <f>462.5-69</f>
        <v>393.5</v>
      </c>
      <c r="F319" s="18">
        <f>311.8-50.1</f>
        <v>261.7</v>
      </c>
      <c r="G319" s="13">
        <v>69</v>
      </c>
      <c r="H319" s="13"/>
      <c r="I319" s="13"/>
      <c r="J319" s="13"/>
      <c r="K319" s="13"/>
    </row>
    <row r="320" spans="1:11" s="5" customFormat="1" ht="15.75" customHeight="1">
      <c r="A320" s="13">
        <f t="shared" si="13"/>
        <v>316</v>
      </c>
      <c r="B320" s="31" t="s">
        <v>105</v>
      </c>
      <c r="C320" s="26">
        <v>3</v>
      </c>
      <c r="D320" s="18">
        <f t="shared" si="14"/>
        <v>1380.8</v>
      </c>
      <c r="E320" s="13">
        <v>1357.7</v>
      </c>
      <c r="F320" s="13">
        <v>881</v>
      </c>
      <c r="G320" s="13"/>
      <c r="H320" s="13"/>
      <c r="I320" s="13"/>
      <c r="J320" s="13">
        <v>23.1</v>
      </c>
      <c r="K320" s="13"/>
    </row>
    <row r="321" spans="1:11" s="5" customFormat="1" ht="15.75" customHeight="1">
      <c r="A321" s="13">
        <f t="shared" si="13"/>
        <v>317</v>
      </c>
      <c r="B321" s="31" t="s">
        <v>105</v>
      </c>
      <c r="C321" s="26">
        <v>9</v>
      </c>
      <c r="D321" s="18">
        <f t="shared" si="14"/>
        <v>4023.4</v>
      </c>
      <c r="E321" s="13">
        <f>2668.1-44.4-1.6</f>
        <v>2622.1</v>
      </c>
      <c r="F321" s="13">
        <f>888.4+891.4</f>
        <v>1779.8</v>
      </c>
      <c r="G321" s="13">
        <v>1355.2</v>
      </c>
      <c r="H321" s="13"/>
      <c r="I321" s="13"/>
      <c r="J321" s="13">
        <f>44.4+1.7</f>
        <v>46.1</v>
      </c>
      <c r="K321" s="13"/>
    </row>
    <row r="322" spans="1:11" s="5" customFormat="1" ht="15.75" customHeight="1">
      <c r="A322" s="13">
        <f t="shared" si="13"/>
        <v>318</v>
      </c>
      <c r="B322" s="31" t="s">
        <v>105</v>
      </c>
      <c r="C322" s="19">
        <v>12</v>
      </c>
      <c r="D322" s="18">
        <f t="shared" si="14"/>
        <v>803.8</v>
      </c>
      <c r="E322" s="18">
        <f>804.3-0.5</f>
        <v>803.8</v>
      </c>
      <c r="F322" s="18">
        <f>559.4-9</f>
        <v>550.4</v>
      </c>
      <c r="G322" s="13"/>
      <c r="H322" s="13"/>
      <c r="I322" s="13"/>
      <c r="J322" s="13"/>
      <c r="K322" s="13"/>
    </row>
    <row r="323" spans="1:11" s="5" customFormat="1" ht="15.75" customHeight="1">
      <c r="A323" s="13">
        <f t="shared" si="13"/>
        <v>319</v>
      </c>
      <c r="B323" s="31" t="s">
        <v>105</v>
      </c>
      <c r="C323" s="19">
        <v>14</v>
      </c>
      <c r="D323" s="18">
        <f t="shared" si="14"/>
        <v>845.6</v>
      </c>
      <c r="E323" s="18">
        <f>806.4+39.2</f>
        <v>845.6</v>
      </c>
      <c r="F323" s="18">
        <v>583.5</v>
      </c>
      <c r="G323" s="13"/>
      <c r="H323" s="13"/>
      <c r="I323" s="13"/>
      <c r="J323" s="13"/>
      <c r="K323" s="13"/>
    </row>
    <row r="324" spans="1:11" s="5" customFormat="1" ht="15.75" customHeight="1">
      <c r="A324" s="13">
        <f t="shared" si="13"/>
        <v>320</v>
      </c>
      <c r="B324" s="31" t="s">
        <v>105</v>
      </c>
      <c r="C324" s="15" t="s">
        <v>106</v>
      </c>
      <c r="D324" s="18">
        <f t="shared" si="14"/>
        <v>861</v>
      </c>
      <c r="E324" s="18">
        <v>861</v>
      </c>
      <c r="F324" s="18">
        <v>600.5</v>
      </c>
      <c r="G324" s="13"/>
      <c r="H324" s="13"/>
      <c r="I324" s="13"/>
      <c r="J324" s="13"/>
      <c r="K324" s="13"/>
    </row>
    <row r="325" spans="1:11" s="5" customFormat="1" ht="15.75" customHeight="1">
      <c r="A325" s="13">
        <f t="shared" si="13"/>
        <v>321</v>
      </c>
      <c r="B325" s="31" t="s">
        <v>105</v>
      </c>
      <c r="C325" s="26" t="s">
        <v>28</v>
      </c>
      <c r="D325" s="18">
        <f t="shared" si="14"/>
        <v>3686.1</v>
      </c>
      <c r="E325" s="13">
        <f>3407.6-46.5-13.1</f>
        <v>3348</v>
      </c>
      <c r="F325" s="13">
        <v>2254.9</v>
      </c>
      <c r="G325" s="13">
        <v>278.9</v>
      </c>
      <c r="H325" s="13"/>
      <c r="I325" s="13"/>
      <c r="J325" s="13">
        <f>46.5+12.7</f>
        <v>59.2</v>
      </c>
      <c r="K325" s="13"/>
    </row>
    <row r="326" spans="1:11" s="5" customFormat="1" ht="15.75" customHeight="1">
      <c r="A326" s="13">
        <f aca="true" t="shared" si="15" ref="A326:A389">A325+1</f>
        <v>322</v>
      </c>
      <c r="B326" s="31" t="s">
        <v>107</v>
      </c>
      <c r="C326" s="15">
        <v>12</v>
      </c>
      <c r="D326" s="18">
        <f t="shared" si="14"/>
        <v>862</v>
      </c>
      <c r="E326" s="18">
        <v>750.5</v>
      </c>
      <c r="F326" s="13">
        <v>488.8</v>
      </c>
      <c r="G326" s="13"/>
      <c r="H326" s="13"/>
      <c r="I326" s="18"/>
      <c r="J326" s="18">
        <v>111.5</v>
      </c>
      <c r="K326" s="18"/>
    </row>
    <row r="327" spans="1:11" s="5" customFormat="1" ht="15.75" customHeight="1">
      <c r="A327" s="13">
        <f t="shared" si="15"/>
        <v>323</v>
      </c>
      <c r="B327" s="31" t="s">
        <v>107</v>
      </c>
      <c r="C327" s="26">
        <v>21</v>
      </c>
      <c r="D327" s="18">
        <f t="shared" si="14"/>
        <v>1748.6</v>
      </c>
      <c r="E327" s="13">
        <v>1098.3</v>
      </c>
      <c r="F327" s="13">
        <v>693.9</v>
      </c>
      <c r="G327" s="13">
        <v>594.2</v>
      </c>
      <c r="H327" s="13"/>
      <c r="I327" s="13"/>
      <c r="J327" s="13">
        <v>56.1</v>
      </c>
      <c r="K327" s="13"/>
    </row>
    <row r="328" spans="1:11" s="5" customFormat="1" ht="15.75" customHeight="1">
      <c r="A328" s="13">
        <f t="shared" si="15"/>
        <v>324</v>
      </c>
      <c r="B328" s="31" t="s">
        <v>107</v>
      </c>
      <c r="C328" s="26">
        <v>23</v>
      </c>
      <c r="D328" s="18">
        <f t="shared" si="14"/>
        <v>2380.6000000000004</v>
      </c>
      <c r="E328" s="13">
        <f>1411.7-14.8</f>
        <v>1396.9</v>
      </c>
      <c r="F328" s="13">
        <v>811.6</v>
      </c>
      <c r="G328" s="13">
        <v>983.7</v>
      </c>
      <c r="H328" s="13"/>
      <c r="I328" s="13"/>
      <c r="J328" s="13"/>
      <c r="K328" s="13"/>
    </row>
    <row r="329" spans="1:11" s="5" customFormat="1" ht="15.75" customHeight="1">
      <c r="A329" s="13">
        <f t="shared" si="15"/>
        <v>325</v>
      </c>
      <c r="B329" s="31" t="s">
        <v>107</v>
      </c>
      <c r="C329" s="26">
        <v>27</v>
      </c>
      <c r="D329" s="18">
        <f t="shared" si="14"/>
        <v>3167.5</v>
      </c>
      <c r="E329" s="13">
        <v>3127.6</v>
      </c>
      <c r="F329" s="13">
        <v>2083.7</v>
      </c>
      <c r="G329" s="13"/>
      <c r="H329" s="13"/>
      <c r="I329" s="13"/>
      <c r="J329" s="13">
        <v>39.9</v>
      </c>
      <c r="K329" s="13"/>
    </row>
    <row r="330" spans="1:11" s="5" customFormat="1" ht="15.75" customHeight="1">
      <c r="A330" s="13">
        <f t="shared" si="15"/>
        <v>326</v>
      </c>
      <c r="B330" s="31" t="s">
        <v>107</v>
      </c>
      <c r="C330" s="15" t="s">
        <v>108</v>
      </c>
      <c r="D330" s="18">
        <f t="shared" si="14"/>
        <v>367.4</v>
      </c>
      <c r="E330" s="13">
        <v>367.4</v>
      </c>
      <c r="F330" s="13">
        <v>255.1</v>
      </c>
      <c r="G330" s="13"/>
      <c r="H330" s="13"/>
      <c r="I330" s="13"/>
      <c r="J330" s="13"/>
      <c r="K330" s="13"/>
    </row>
    <row r="331" spans="1:11" s="5" customFormat="1" ht="15.75" customHeight="1">
      <c r="A331" s="13">
        <f t="shared" si="15"/>
        <v>327</v>
      </c>
      <c r="B331" s="31" t="s">
        <v>38</v>
      </c>
      <c r="C331" s="15">
        <v>44</v>
      </c>
      <c r="D331" s="18">
        <f t="shared" si="14"/>
        <v>9092.400000000001</v>
      </c>
      <c r="E331" s="13">
        <f>8964.7-102.2-173.8-112.2-33.2-65.4-67.3</f>
        <v>8410.6</v>
      </c>
      <c r="F331" s="13">
        <f>5576.6-59.8-101.4-71.9-17-42.9-42.6</f>
        <v>5241.000000000001</v>
      </c>
      <c r="G331" s="13">
        <f>102.2+173.8+112.2+33.2+65.4+67.3</f>
        <v>554.0999999999999</v>
      </c>
      <c r="H331" s="13"/>
      <c r="I331" s="13"/>
      <c r="J331" s="13">
        <v>127.7</v>
      </c>
      <c r="K331" s="13"/>
    </row>
    <row r="332" spans="1:11" s="5" customFormat="1" ht="15.75" customHeight="1">
      <c r="A332" s="13">
        <f t="shared" si="15"/>
        <v>328</v>
      </c>
      <c r="B332" s="25" t="s">
        <v>38</v>
      </c>
      <c r="C332" s="19">
        <v>46</v>
      </c>
      <c r="D332" s="18">
        <f t="shared" si="14"/>
        <v>2316.9</v>
      </c>
      <c r="E332" s="18">
        <v>1871.9</v>
      </c>
      <c r="F332" s="18">
        <v>1096.9</v>
      </c>
      <c r="G332" s="13">
        <f>228.9+155.9</f>
        <v>384.8</v>
      </c>
      <c r="H332" s="13"/>
      <c r="I332" s="13"/>
      <c r="J332" s="13">
        <v>60.2</v>
      </c>
      <c r="K332" s="13"/>
    </row>
    <row r="333" spans="1:11" s="5" customFormat="1" ht="15.75" customHeight="1">
      <c r="A333" s="13">
        <f t="shared" si="15"/>
        <v>329</v>
      </c>
      <c r="B333" s="31" t="s">
        <v>38</v>
      </c>
      <c r="C333" s="15">
        <v>48</v>
      </c>
      <c r="D333" s="18">
        <f t="shared" si="14"/>
        <v>3316.7999999999997</v>
      </c>
      <c r="E333" s="13">
        <f>2873.6-61.2</f>
        <v>2812.4</v>
      </c>
      <c r="F333" s="13">
        <v>1892</v>
      </c>
      <c r="G333" s="13">
        <v>444.7</v>
      </c>
      <c r="H333" s="13"/>
      <c r="I333" s="13"/>
      <c r="J333" s="13">
        <f>18.4+61.2-19.9</f>
        <v>59.699999999999996</v>
      </c>
      <c r="K333" s="13"/>
    </row>
    <row r="334" spans="1:11" s="5" customFormat="1" ht="15.75" customHeight="1">
      <c r="A334" s="13">
        <f t="shared" si="15"/>
        <v>330</v>
      </c>
      <c r="B334" s="25" t="s">
        <v>38</v>
      </c>
      <c r="C334" s="19">
        <v>50</v>
      </c>
      <c r="D334" s="18">
        <f t="shared" si="14"/>
        <v>2854.3</v>
      </c>
      <c r="E334" s="18">
        <v>2805.3</v>
      </c>
      <c r="F334" s="18">
        <v>1886.7</v>
      </c>
      <c r="G334" s="13"/>
      <c r="H334" s="13"/>
      <c r="I334" s="13"/>
      <c r="J334" s="13">
        <v>49</v>
      </c>
      <c r="K334" s="13"/>
    </row>
    <row r="335" spans="1:11" s="5" customFormat="1" ht="15.75" customHeight="1">
      <c r="A335" s="13">
        <f t="shared" si="15"/>
        <v>331</v>
      </c>
      <c r="B335" s="25" t="s">
        <v>38</v>
      </c>
      <c r="C335" s="19" t="s">
        <v>75</v>
      </c>
      <c r="D335" s="18">
        <f t="shared" si="14"/>
        <v>2747.2</v>
      </c>
      <c r="E335" s="18">
        <v>2705</v>
      </c>
      <c r="F335" s="18">
        <v>1825.8</v>
      </c>
      <c r="G335" s="13"/>
      <c r="H335" s="13"/>
      <c r="I335" s="13"/>
      <c r="J335" s="13">
        <v>42.2</v>
      </c>
      <c r="K335" s="13">
        <v>0</v>
      </c>
    </row>
    <row r="336" spans="1:11" s="5" customFormat="1" ht="15.75" customHeight="1">
      <c r="A336" s="13">
        <f t="shared" si="15"/>
        <v>332</v>
      </c>
      <c r="B336" s="31" t="s">
        <v>38</v>
      </c>
      <c r="C336" s="15" t="s">
        <v>109</v>
      </c>
      <c r="D336" s="18">
        <f t="shared" si="14"/>
        <v>3214</v>
      </c>
      <c r="E336" s="13">
        <f>3144.3-111.6</f>
        <v>3032.7000000000003</v>
      </c>
      <c r="F336" s="13">
        <v>1756.3</v>
      </c>
      <c r="G336" s="13">
        <v>111.6</v>
      </c>
      <c r="H336" s="13"/>
      <c r="I336" s="13"/>
      <c r="J336" s="13">
        <f>52+17.7</f>
        <v>69.7</v>
      </c>
      <c r="K336" s="13"/>
    </row>
    <row r="337" spans="1:11" s="5" customFormat="1" ht="15.75" customHeight="1">
      <c r="A337" s="13">
        <f t="shared" si="15"/>
        <v>333</v>
      </c>
      <c r="B337" s="31" t="s">
        <v>38</v>
      </c>
      <c r="C337" s="15" t="s">
        <v>110</v>
      </c>
      <c r="D337" s="18">
        <f t="shared" si="14"/>
        <v>6395.900000000001</v>
      </c>
      <c r="E337" s="13">
        <f>6392.3-64.9-65.5+3.6</f>
        <v>6265.500000000001</v>
      </c>
      <c r="F337" s="13">
        <f>3962.4-42.7-43</f>
        <v>3876.7000000000003</v>
      </c>
      <c r="G337" s="13">
        <f>64.9+65.5</f>
        <v>130.4</v>
      </c>
      <c r="H337" s="13"/>
      <c r="I337" s="13"/>
      <c r="J337" s="13">
        <v>0</v>
      </c>
      <c r="K337" s="13"/>
    </row>
    <row r="338" spans="1:11" s="5" customFormat="1" ht="15.75" customHeight="1">
      <c r="A338" s="13">
        <f t="shared" si="15"/>
        <v>334</v>
      </c>
      <c r="B338" s="31" t="s">
        <v>38</v>
      </c>
      <c r="C338" s="15" t="s">
        <v>111</v>
      </c>
      <c r="D338" s="18">
        <f t="shared" si="14"/>
        <v>8271.800000000001</v>
      </c>
      <c r="E338" s="13">
        <f>7513.1-521.7-4.3+0.8</f>
        <v>6987.900000000001</v>
      </c>
      <c r="F338" s="13">
        <f>5131.2-354.8-473.6</f>
        <v>4302.799999999999</v>
      </c>
      <c r="G338" s="13">
        <f>521.7+672.5</f>
        <v>1194.2</v>
      </c>
      <c r="H338" s="13"/>
      <c r="I338" s="13"/>
      <c r="J338" s="13">
        <v>89.7</v>
      </c>
      <c r="K338" s="13"/>
    </row>
    <row r="339" spans="1:11" s="5" customFormat="1" ht="15.75" customHeight="1">
      <c r="A339" s="13">
        <f t="shared" si="15"/>
        <v>335</v>
      </c>
      <c r="B339" s="31" t="s">
        <v>38</v>
      </c>
      <c r="C339" s="15" t="s">
        <v>112</v>
      </c>
      <c r="D339" s="18">
        <f t="shared" si="14"/>
        <v>3250.3</v>
      </c>
      <c r="E339" s="13">
        <f>3250.3-41</f>
        <v>3209.3</v>
      </c>
      <c r="F339" s="13">
        <v>1891.8</v>
      </c>
      <c r="G339" s="13"/>
      <c r="H339" s="13"/>
      <c r="I339" s="13"/>
      <c r="J339" s="13">
        <v>41</v>
      </c>
      <c r="K339" s="13"/>
    </row>
    <row r="340" spans="1:11" s="5" customFormat="1" ht="15.75" customHeight="1">
      <c r="A340" s="13">
        <f t="shared" si="15"/>
        <v>336</v>
      </c>
      <c r="B340" s="31" t="s">
        <v>38</v>
      </c>
      <c r="C340" s="15" t="s">
        <v>113</v>
      </c>
      <c r="D340" s="18">
        <f t="shared" si="14"/>
        <v>4528.2</v>
      </c>
      <c r="E340" s="13">
        <v>4426.3</v>
      </c>
      <c r="F340" s="13">
        <v>2695.9</v>
      </c>
      <c r="G340" s="13"/>
      <c r="H340" s="13"/>
      <c r="I340" s="13"/>
      <c r="J340" s="13">
        <v>101.9</v>
      </c>
      <c r="K340" s="13"/>
    </row>
    <row r="341" spans="1:11" s="5" customFormat="1" ht="15.75" customHeight="1">
      <c r="A341" s="13">
        <f t="shared" si="15"/>
        <v>337</v>
      </c>
      <c r="B341" s="31" t="s">
        <v>38</v>
      </c>
      <c r="C341" s="15" t="s">
        <v>114</v>
      </c>
      <c r="D341" s="18">
        <f t="shared" si="14"/>
        <v>2632.3</v>
      </c>
      <c r="E341" s="13">
        <v>2117</v>
      </c>
      <c r="F341" s="13">
        <v>1257.1</v>
      </c>
      <c r="G341" s="13"/>
      <c r="H341" s="13"/>
      <c r="I341" s="13"/>
      <c r="J341" s="13">
        <v>515.3</v>
      </c>
      <c r="K341" s="13"/>
    </row>
    <row r="342" spans="1:11" s="5" customFormat="1" ht="15.75" customHeight="1">
      <c r="A342" s="13">
        <f t="shared" si="15"/>
        <v>338</v>
      </c>
      <c r="B342" s="31" t="s">
        <v>41</v>
      </c>
      <c r="C342" s="15">
        <v>6</v>
      </c>
      <c r="D342" s="18">
        <f t="shared" si="14"/>
        <v>3515.1</v>
      </c>
      <c r="E342" s="13">
        <f>2930-248.1</f>
        <v>2681.9</v>
      </c>
      <c r="F342" s="13">
        <f>1892.4-164.8</f>
        <v>1727.6000000000001</v>
      </c>
      <c r="G342" s="13">
        <v>248.1</v>
      </c>
      <c r="H342" s="13"/>
      <c r="I342" s="13"/>
      <c r="J342" s="13">
        <v>585.1</v>
      </c>
      <c r="K342" s="13"/>
    </row>
    <row r="343" spans="1:11" s="5" customFormat="1" ht="15.75" customHeight="1">
      <c r="A343" s="13">
        <f t="shared" si="15"/>
        <v>339</v>
      </c>
      <c r="B343" s="31" t="s">
        <v>41</v>
      </c>
      <c r="C343" s="19">
        <v>8</v>
      </c>
      <c r="D343" s="18">
        <f t="shared" si="14"/>
        <v>1940.8999999999999</v>
      </c>
      <c r="E343" s="18">
        <f>1607.7-31.2+30.1-42.2</f>
        <v>1564.3999999999999</v>
      </c>
      <c r="F343" s="18">
        <f>1047.2-19+18-31.5</f>
        <v>1014.7</v>
      </c>
      <c r="G343" s="13">
        <f>104.7+35.1+42.2</f>
        <v>182</v>
      </c>
      <c r="H343" s="13">
        <v>73.5</v>
      </c>
      <c r="I343" s="13"/>
      <c r="J343" s="13">
        <v>56.3</v>
      </c>
      <c r="K343" s="13">
        <v>138.2</v>
      </c>
    </row>
    <row r="344" spans="1:11" s="5" customFormat="1" ht="15.75" customHeight="1">
      <c r="A344" s="13">
        <f t="shared" si="15"/>
        <v>340</v>
      </c>
      <c r="B344" s="31" t="s">
        <v>41</v>
      </c>
      <c r="C344" s="15">
        <v>14</v>
      </c>
      <c r="D344" s="18">
        <f t="shared" si="14"/>
        <v>7328.1</v>
      </c>
      <c r="E344" s="13">
        <f>7214.3-33.9-82.5-32.6-1.6-45.1-32.3-44.4-32.7-61.3</f>
        <v>6847.9</v>
      </c>
      <c r="F344" s="13">
        <f>4566.8-20-19.3-29.6-18.8-29.6-19.5-41.2</f>
        <v>4388.799999999999</v>
      </c>
      <c r="G344" s="13">
        <f>33.9+32.6+46.8+111.6+32.8+44.4+32.7+61.3</f>
        <v>396.09999999999997</v>
      </c>
      <c r="H344" s="13"/>
      <c r="I344" s="13"/>
      <c r="J344" s="13">
        <f>111.5+82.5-109.9</f>
        <v>84.1</v>
      </c>
      <c r="K344" s="13"/>
    </row>
    <row r="345" spans="1:11" s="5" customFormat="1" ht="15.75" customHeight="1">
      <c r="A345" s="13">
        <f t="shared" si="15"/>
        <v>341</v>
      </c>
      <c r="B345" s="31" t="s">
        <v>41</v>
      </c>
      <c r="C345" s="15">
        <v>15</v>
      </c>
      <c r="D345" s="18">
        <f t="shared" si="14"/>
        <v>10621</v>
      </c>
      <c r="E345" s="13">
        <f>8927.1-154.3-49.3-49.6</f>
        <v>8673.900000000001</v>
      </c>
      <c r="F345" s="13">
        <f>5336.2-30-30.2</f>
        <v>5276</v>
      </c>
      <c r="G345" s="13">
        <f>49.3+1693.9+49.6</f>
        <v>1792.8</v>
      </c>
      <c r="H345" s="13"/>
      <c r="I345" s="13"/>
      <c r="J345" s="13">
        <f>80.4+154.3-80.4</f>
        <v>154.3</v>
      </c>
      <c r="K345" s="13"/>
    </row>
    <row r="346" spans="1:11" s="5" customFormat="1" ht="15.75" customHeight="1">
      <c r="A346" s="13">
        <f t="shared" si="15"/>
        <v>342</v>
      </c>
      <c r="B346" s="31" t="s">
        <v>41</v>
      </c>
      <c r="C346" s="15">
        <v>16</v>
      </c>
      <c r="D346" s="18">
        <f t="shared" si="14"/>
        <v>5321</v>
      </c>
      <c r="E346" s="13">
        <v>4250.2</v>
      </c>
      <c r="F346" s="13">
        <v>2765.1</v>
      </c>
      <c r="G346" s="13"/>
      <c r="H346" s="13"/>
      <c r="I346" s="13"/>
      <c r="J346" s="13">
        <v>1070.8</v>
      </c>
      <c r="K346" s="13"/>
    </row>
    <row r="347" spans="1:11" s="5" customFormat="1" ht="15.75" customHeight="1">
      <c r="A347" s="13">
        <f t="shared" si="15"/>
        <v>343</v>
      </c>
      <c r="B347" s="31" t="s">
        <v>41</v>
      </c>
      <c r="C347" s="15">
        <v>18</v>
      </c>
      <c r="D347" s="18">
        <f t="shared" si="14"/>
        <v>2681.8</v>
      </c>
      <c r="E347" s="13">
        <f>2638.5-0.2-43.7</f>
        <v>2594.6000000000004</v>
      </c>
      <c r="F347" s="13">
        <f>1780.5-27.5</f>
        <v>1753</v>
      </c>
      <c r="G347" s="13">
        <v>43.7</v>
      </c>
      <c r="H347" s="13"/>
      <c r="I347" s="13"/>
      <c r="J347" s="13">
        <v>43.5</v>
      </c>
      <c r="K347" s="13"/>
    </row>
    <row r="348" spans="1:11" s="5" customFormat="1" ht="15.75" customHeight="1">
      <c r="A348" s="13">
        <f t="shared" si="15"/>
        <v>344</v>
      </c>
      <c r="B348" s="25" t="s">
        <v>41</v>
      </c>
      <c r="C348" s="19">
        <v>19</v>
      </c>
      <c r="D348" s="18">
        <f t="shared" si="14"/>
        <v>4816.5</v>
      </c>
      <c r="E348" s="18">
        <f>4454.9-133.8-39.9-184.3</f>
        <v>4096.9</v>
      </c>
      <c r="F348" s="18">
        <f>2959.1-85-13.4-108.3</f>
        <v>2752.3999999999996</v>
      </c>
      <c r="G348" s="13">
        <f>583.5+29</f>
        <v>612.5</v>
      </c>
      <c r="H348" s="13"/>
      <c r="I348" s="13"/>
      <c r="J348" s="13">
        <v>107.1</v>
      </c>
      <c r="K348" s="13"/>
    </row>
    <row r="349" spans="1:11" s="5" customFormat="1" ht="15.75" customHeight="1">
      <c r="A349" s="13">
        <f t="shared" si="15"/>
        <v>345</v>
      </c>
      <c r="B349" s="31" t="s">
        <v>41</v>
      </c>
      <c r="C349" s="15">
        <v>21</v>
      </c>
      <c r="D349" s="18">
        <f t="shared" si="14"/>
        <v>5765.000000000001</v>
      </c>
      <c r="E349" s="13">
        <f>5658.5-2.1-155.2-257.7-30.4-6.4+192</f>
        <v>5398.700000000001</v>
      </c>
      <c r="F349" s="13">
        <f>3139.1-98.6-137.8+193-94.4</f>
        <v>3001.2999999999997</v>
      </c>
      <c r="G349" s="13">
        <f>155.2+251.5+54.5-209.7</f>
        <v>251.5</v>
      </c>
      <c r="H349" s="13"/>
      <c r="I349" s="13"/>
      <c r="J349" s="13">
        <f>8.9+6.2+105.9-6.2</f>
        <v>114.8</v>
      </c>
      <c r="K349" s="13"/>
    </row>
    <row r="350" spans="1:11" s="5" customFormat="1" ht="15.75" customHeight="1">
      <c r="A350" s="13">
        <f t="shared" si="15"/>
        <v>346</v>
      </c>
      <c r="B350" s="31" t="s">
        <v>41</v>
      </c>
      <c r="C350" s="15" t="s">
        <v>101</v>
      </c>
      <c r="D350" s="18">
        <f t="shared" si="14"/>
        <v>10100.800000000001</v>
      </c>
      <c r="E350" s="13">
        <f>10098.7-137.7+2.1</f>
        <v>9963.1</v>
      </c>
      <c r="F350" s="13">
        <v>6058.5</v>
      </c>
      <c r="G350" s="13"/>
      <c r="H350" s="13"/>
      <c r="I350" s="13"/>
      <c r="J350" s="13">
        <v>137.7</v>
      </c>
      <c r="K350" s="13"/>
    </row>
    <row r="351" spans="1:11" s="5" customFormat="1" ht="15.75" customHeight="1">
      <c r="A351" s="13">
        <f t="shared" si="15"/>
        <v>347</v>
      </c>
      <c r="B351" s="31" t="s">
        <v>41</v>
      </c>
      <c r="C351" s="15" t="s">
        <v>115</v>
      </c>
      <c r="D351" s="18">
        <f t="shared" si="14"/>
        <v>3203.5999999999995</v>
      </c>
      <c r="E351" s="13">
        <f>3203.2-24.3</f>
        <v>3178.8999999999996</v>
      </c>
      <c r="F351" s="13">
        <f>2132.74-9.44</f>
        <v>2123.2999999999997</v>
      </c>
      <c r="G351" s="13"/>
      <c r="H351" s="13"/>
      <c r="I351" s="13"/>
      <c r="J351" s="13">
        <v>24.7</v>
      </c>
      <c r="K351" s="13"/>
    </row>
    <row r="352" spans="1:11" s="5" customFormat="1" ht="15.75" customHeight="1">
      <c r="A352" s="13">
        <f t="shared" si="15"/>
        <v>348</v>
      </c>
      <c r="B352" s="31" t="s">
        <v>41</v>
      </c>
      <c r="C352" s="15" t="s">
        <v>116</v>
      </c>
      <c r="D352" s="18">
        <f t="shared" si="14"/>
        <v>3235.1</v>
      </c>
      <c r="E352" s="13">
        <v>3235.1</v>
      </c>
      <c r="F352" s="13">
        <v>2073.6</v>
      </c>
      <c r="G352" s="13"/>
      <c r="H352" s="13"/>
      <c r="I352" s="13"/>
      <c r="J352" s="13"/>
      <c r="K352" s="13"/>
    </row>
    <row r="353" spans="1:11" s="5" customFormat="1" ht="15.75" customHeight="1">
      <c r="A353" s="13">
        <f t="shared" si="15"/>
        <v>349</v>
      </c>
      <c r="B353" s="31" t="s">
        <v>41</v>
      </c>
      <c r="C353" s="15" t="s">
        <v>117</v>
      </c>
      <c r="D353" s="18">
        <f t="shared" si="14"/>
        <v>3038.9</v>
      </c>
      <c r="E353" s="13">
        <f>3057.3-18.4-65.6</f>
        <v>2973.3</v>
      </c>
      <c r="F353" s="13">
        <v>1983.5</v>
      </c>
      <c r="G353" s="13"/>
      <c r="H353" s="13"/>
      <c r="I353" s="13"/>
      <c r="J353" s="13">
        <v>65.6</v>
      </c>
      <c r="K353" s="13"/>
    </row>
    <row r="354" spans="1:11" s="5" customFormat="1" ht="15.75" customHeight="1">
      <c r="A354" s="13">
        <f t="shared" si="15"/>
        <v>350</v>
      </c>
      <c r="B354" s="31" t="s">
        <v>41</v>
      </c>
      <c r="C354" s="15" t="s">
        <v>118</v>
      </c>
      <c r="D354" s="18">
        <f t="shared" si="14"/>
        <v>3363.3</v>
      </c>
      <c r="E354" s="13">
        <f>3203+122.9-41.7+37.4</f>
        <v>3321.6000000000004</v>
      </c>
      <c r="F354" s="13">
        <f>2207.14-19.64-28</f>
        <v>2159.5</v>
      </c>
      <c r="G354" s="13">
        <v>41.7</v>
      </c>
      <c r="H354" s="13"/>
      <c r="I354" s="13"/>
      <c r="J354" s="13">
        <f>123-123</f>
        <v>0</v>
      </c>
      <c r="K354" s="13"/>
    </row>
    <row r="355" spans="1:11" s="5" customFormat="1" ht="15.75" customHeight="1">
      <c r="A355" s="13">
        <f t="shared" si="15"/>
        <v>351</v>
      </c>
      <c r="B355" s="31" t="s">
        <v>41</v>
      </c>
      <c r="C355" s="15" t="s">
        <v>18</v>
      </c>
      <c r="D355" s="18">
        <f t="shared" si="14"/>
        <v>8175.700000000003</v>
      </c>
      <c r="E355" s="18">
        <f>8026.6-333.9-215.2-96.4+5.2+7.6+6.6+7.6+7.3</f>
        <v>7415.400000000002</v>
      </c>
      <c r="F355" s="18">
        <f>4507.7-209.1-169.6</f>
        <v>4128.999999999999</v>
      </c>
      <c r="G355" s="13">
        <f>333.9+215.2+96.4</f>
        <v>645.4999999999999</v>
      </c>
      <c r="H355" s="13"/>
      <c r="I355" s="13"/>
      <c r="J355" s="18">
        <v>114.8</v>
      </c>
      <c r="K355" s="18">
        <v>0</v>
      </c>
    </row>
    <row r="356" spans="1:11" s="5" customFormat="1" ht="15.75" customHeight="1">
      <c r="A356" s="13">
        <f t="shared" si="15"/>
        <v>352</v>
      </c>
      <c r="B356" s="31" t="s">
        <v>119</v>
      </c>
      <c r="C356" s="15">
        <v>7</v>
      </c>
      <c r="D356" s="18">
        <f t="shared" si="14"/>
        <v>3297.3</v>
      </c>
      <c r="E356" s="13">
        <v>3162.5</v>
      </c>
      <c r="F356" s="13">
        <v>2123</v>
      </c>
      <c r="G356" s="13"/>
      <c r="H356" s="13"/>
      <c r="I356" s="13"/>
      <c r="J356" s="13">
        <v>134.8</v>
      </c>
      <c r="K356" s="13"/>
    </row>
    <row r="357" spans="1:11" s="5" customFormat="1" ht="15.75" customHeight="1">
      <c r="A357" s="13">
        <f t="shared" si="15"/>
        <v>353</v>
      </c>
      <c r="B357" s="31" t="s">
        <v>119</v>
      </c>
      <c r="C357" s="15">
        <v>9</v>
      </c>
      <c r="D357" s="18">
        <f t="shared" si="14"/>
        <v>5626.099999999999</v>
      </c>
      <c r="E357" s="13">
        <v>5580.7</v>
      </c>
      <c r="F357" s="13">
        <v>3766.5</v>
      </c>
      <c r="G357" s="13"/>
      <c r="H357" s="13"/>
      <c r="I357" s="13"/>
      <c r="J357" s="13">
        <v>45.4</v>
      </c>
      <c r="K357" s="13"/>
    </row>
    <row r="358" spans="1:11" s="5" customFormat="1" ht="15.75" customHeight="1">
      <c r="A358" s="13">
        <f t="shared" si="15"/>
        <v>354</v>
      </c>
      <c r="B358" s="31" t="s">
        <v>120</v>
      </c>
      <c r="C358" s="15">
        <v>1</v>
      </c>
      <c r="D358" s="18">
        <f t="shared" si="14"/>
        <v>1912.2</v>
      </c>
      <c r="E358" s="13">
        <f>1360.8-94.3+1-59.4</f>
        <v>1208.1</v>
      </c>
      <c r="F358" s="13">
        <f>806.1-56.1-39.9</f>
        <v>710.1</v>
      </c>
      <c r="G358" s="13">
        <f>94.3+410.2+59.4</f>
        <v>563.9</v>
      </c>
      <c r="H358" s="13"/>
      <c r="I358" s="13"/>
      <c r="J358" s="13">
        <f>411.2-271</f>
        <v>140.2</v>
      </c>
      <c r="K358" s="13"/>
    </row>
    <row r="359" spans="1:11" s="5" customFormat="1" ht="15.75" customHeight="1">
      <c r="A359" s="13">
        <f t="shared" si="15"/>
        <v>355</v>
      </c>
      <c r="B359" s="31" t="s">
        <v>120</v>
      </c>
      <c r="C359" s="15">
        <v>3</v>
      </c>
      <c r="D359" s="18">
        <f t="shared" si="14"/>
        <v>387.1</v>
      </c>
      <c r="E359" s="13">
        <v>387.1</v>
      </c>
      <c r="F359" s="13">
        <v>221.5</v>
      </c>
      <c r="G359" s="13"/>
      <c r="H359" s="13"/>
      <c r="I359" s="13"/>
      <c r="J359" s="13">
        <v>0</v>
      </c>
      <c r="K359" s="13"/>
    </row>
    <row r="360" spans="1:11" s="5" customFormat="1" ht="15.75" customHeight="1">
      <c r="A360" s="13">
        <f t="shared" si="15"/>
        <v>356</v>
      </c>
      <c r="B360" s="31" t="s">
        <v>120</v>
      </c>
      <c r="C360" s="15">
        <v>5</v>
      </c>
      <c r="D360" s="18">
        <f t="shared" si="14"/>
        <v>385.9</v>
      </c>
      <c r="E360" s="13">
        <v>385.9</v>
      </c>
      <c r="F360" s="13">
        <v>221.7</v>
      </c>
      <c r="G360" s="13"/>
      <c r="H360" s="13"/>
      <c r="I360" s="13"/>
      <c r="J360" s="13">
        <v>0</v>
      </c>
      <c r="K360" s="13"/>
    </row>
    <row r="361" spans="1:11" s="5" customFormat="1" ht="15.75" customHeight="1">
      <c r="A361" s="13">
        <f t="shared" si="15"/>
        <v>357</v>
      </c>
      <c r="B361" s="31" t="s">
        <v>120</v>
      </c>
      <c r="C361" s="15">
        <v>7</v>
      </c>
      <c r="D361" s="18">
        <f t="shared" si="14"/>
        <v>1604.1</v>
      </c>
      <c r="E361" s="13">
        <v>1529.1</v>
      </c>
      <c r="F361" s="13">
        <v>900.6</v>
      </c>
      <c r="G361" s="13"/>
      <c r="H361" s="13"/>
      <c r="I361" s="13"/>
      <c r="J361" s="13">
        <v>75</v>
      </c>
      <c r="K361" s="13"/>
    </row>
    <row r="362" spans="1:11" s="5" customFormat="1" ht="15.75" customHeight="1">
      <c r="A362" s="13">
        <f t="shared" si="15"/>
        <v>358</v>
      </c>
      <c r="B362" s="31" t="s">
        <v>120</v>
      </c>
      <c r="C362" s="19">
        <v>11</v>
      </c>
      <c r="D362" s="18">
        <f t="shared" si="14"/>
        <v>2058.8</v>
      </c>
      <c r="E362" s="18">
        <v>1941.8</v>
      </c>
      <c r="F362" s="18">
        <v>1257</v>
      </c>
      <c r="G362" s="13">
        <v>71</v>
      </c>
      <c r="H362" s="13">
        <v>71</v>
      </c>
      <c r="I362" s="13"/>
      <c r="J362" s="13">
        <v>46</v>
      </c>
      <c r="K362" s="13"/>
    </row>
    <row r="363" spans="1:11" s="5" customFormat="1" ht="15.75" customHeight="1">
      <c r="A363" s="13">
        <f t="shared" si="15"/>
        <v>359</v>
      </c>
      <c r="B363" s="31" t="s">
        <v>120</v>
      </c>
      <c r="C363" s="26">
        <v>12</v>
      </c>
      <c r="D363" s="18">
        <f t="shared" si="14"/>
        <v>2548.6</v>
      </c>
      <c r="E363" s="26">
        <v>1868</v>
      </c>
      <c r="F363" s="26">
        <v>1244.7</v>
      </c>
      <c r="G363" s="26">
        <v>53.5</v>
      </c>
      <c r="H363" s="26"/>
      <c r="I363" s="26"/>
      <c r="J363" s="26">
        <v>627.1</v>
      </c>
      <c r="K363" s="26"/>
    </row>
    <row r="364" spans="1:11" s="5" customFormat="1" ht="15.75" customHeight="1">
      <c r="A364" s="13">
        <f t="shared" si="15"/>
        <v>360</v>
      </c>
      <c r="B364" s="31" t="s">
        <v>120</v>
      </c>
      <c r="C364" s="19">
        <v>13</v>
      </c>
      <c r="D364" s="18">
        <f t="shared" si="14"/>
        <v>3492.8999999999996</v>
      </c>
      <c r="E364" s="18">
        <f>3211.7-171.4</f>
        <v>3040.2999999999997</v>
      </c>
      <c r="F364" s="18">
        <f>2112.1-113.9</f>
        <v>1998.1999999999998</v>
      </c>
      <c r="G364" s="13">
        <f>230.2+171.4</f>
        <v>401.6</v>
      </c>
      <c r="H364" s="13"/>
      <c r="I364" s="13"/>
      <c r="J364" s="13">
        <v>51</v>
      </c>
      <c r="K364" s="13"/>
    </row>
    <row r="365" spans="1:11" s="5" customFormat="1" ht="15.75" customHeight="1">
      <c r="A365" s="13">
        <f t="shared" si="15"/>
        <v>361</v>
      </c>
      <c r="B365" s="31" t="s">
        <v>120</v>
      </c>
      <c r="C365" s="15">
        <v>18</v>
      </c>
      <c r="D365" s="18">
        <f t="shared" si="14"/>
        <v>2928.6</v>
      </c>
      <c r="E365" s="13">
        <f>2389.6+93.5</f>
        <v>2483.1</v>
      </c>
      <c r="F365" s="13">
        <v>1427.51</v>
      </c>
      <c r="G365" s="13">
        <f>501.8-93.5</f>
        <v>408.3</v>
      </c>
      <c r="H365" s="13"/>
      <c r="I365" s="13"/>
      <c r="J365" s="13">
        <f>539-501.8</f>
        <v>37.19999999999999</v>
      </c>
      <c r="K365" s="13"/>
    </row>
    <row r="366" spans="1:11" s="5" customFormat="1" ht="15.75" customHeight="1">
      <c r="A366" s="13">
        <f t="shared" si="15"/>
        <v>362</v>
      </c>
      <c r="B366" s="31" t="s">
        <v>120</v>
      </c>
      <c r="C366" s="15">
        <v>20</v>
      </c>
      <c r="D366" s="18">
        <f t="shared" si="14"/>
        <v>1769.7</v>
      </c>
      <c r="E366" s="13">
        <f>1527.7-48.3-37.2</f>
        <v>1442.2</v>
      </c>
      <c r="F366" s="13">
        <f>933.1-24.8</f>
        <v>908.3000000000001</v>
      </c>
      <c r="G366" s="13">
        <f>37.2+242</f>
        <v>279.2</v>
      </c>
      <c r="H366" s="13"/>
      <c r="I366" s="13"/>
      <c r="J366" s="13">
        <f>242+48.3-242</f>
        <v>48.30000000000001</v>
      </c>
      <c r="K366" s="13"/>
    </row>
    <row r="367" spans="1:11" s="5" customFormat="1" ht="15.75" customHeight="1">
      <c r="A367" s="13">
        <f t="shared" si="15"/>
        <v>363</v>
      </c>
      <c r="B367" s="31" t="s">
        <v>70</v>
      </c>
      <c r="C367" s="15">
        <v>40</v>
      </c>
      <c r="D367" s="18">
        <f t="shared" si="14"/>
        <v>3565</v>
      </c>
      <c r="E367" s="13">
        <f>3107.4-186.8-41.9-40.4</f>
        <v>2838.2999999999997</v>
      </c>
      <c r="F367" s="13">
        <f>2016.7-126.2-25.9-2.7</f>
        <v>1861.8999999999999</v>
      </c>
      <c r="G367" s="13">
        <f>186.8+41.9+476.7</f>
        <v>705.4</v>
      </c>
      <c r="H367" s="13"/>
      <c r="I367" s="13"/>
      <c r="J367" s="13">
        <f>61.7-40.4</f>
        <v>21.300000000000004</v>
      </c>
      <c r="K367" s="13"/>
    </row>
    <row r="368" spans="1:11" s="5" customFormat="1" ht="15.75" customHeight="1">
      <c r="A368" s="13">
        <f t="shared" si="15"/>
        <v>364</v>
      </c>
      <c r="B368" s="31" t="s">
        <v>70</v>
      </c>
      <c r="C368" s="19">
        <v>42</v>
      </c>
      <c r="D368" s="18">
        <f t="shared" si="14"/>
        <v>4742.8</v>
      </c>
      <c r="E368" s="18">
        <f>4411.7-2.9+4.4</f>
        <v>4413.2</v>
      </c>
      <c r="F368" s="18">
        <v>2539.3</v>
      </c>
      <c r="G368" s="13">
        <v>276.5</v>
      </c>
      <c r="H368" s="13">
        <v>276.5</v>
      </c>
      <c r="I368" s="13"/>
      <c r="J368" s="13">
        <v>53.1</v>
      </c>
      <c r="K368" s="13"/>
    </row>
    <row r="369" spans="1:11" s="5" customFormat="1" ht="15.75" customHeight="1">
      <c r="A369" s="13">
        <f t="shared" si="15"/>
        <v>365</v>
      </c>
      <c r="B369" s="31" t="s">
        <v>70</v>
      </c>
      <c r="C369" s="15">
        <v>50</v>
      </c>
      <c r="D369" s="18">
        <f t="shared" si="14"/>
        <v>1902.3</v>
      </c>
      <c r="E369" s="13">
        <f>1902.3-64.2</f>
        <v>1838.1</v>
      </c>
      <c r="F369" s="13">
        <v>1186.6</v>
      </c>
      <c r="G369" s="13"/>
      <c r="H369" s="13"/>
      <c r="I369" s="13"/>
      <c r="J369" s="13">
        <v>64.2</v>
      </c>
      <c r="K369" s="13"/>
    </row>
    <row r="370" spans="1:11" s="5" customFormat="1" ht="15.75" customHeight="1">
      <c r="A370" s="13">
        <f t="shared" si="15"/>
        <v>366</v>
      </c>
      <c r="B370" s="31" t="s">
        <v>70</v>
      </c>
      <c r="C370" s="19">
        <v>52</v>
      </c>
      <c r="D370" s="18">
        <f t="shared" si="14"/>
        <v>3042.6000000000004</v>
      </c>
      <c r="E370" s="18">
        <f>2556.4-40.2-0.6</f>
        <v>2515.6000000000004</v>
      </c>
      <c r="F370" s="18">
        <f>1653.2-9.5-27.8</f>
        <v>1615.9</v>
      </c>
      <c r="G370" s="13">
        <f>26.5+40.2-0.7</f>
        <v>66</v>
      </c>
      <c r="H370" s="13">
        <v>26.5</v>
      </c>
      <c r="I370" s="13"/>
      <c r="J370" s="13">
        <v>100</v>
      </c>
      <c r="K370" s="13">
        <v>361</v>
      </c>
    </row>
    <row r="371" spans="1:11" s="5" customFormat="1" ht="15.75" customHeight="1">
      <c r="A371" s="13">
        <f t="shared" si="15"/>
        <v>367</v>
      </c>
      <c r="B371" s="31" t="s">
        <v>70</v>
      </c>
      <c r="C371" s="19">
        <v>54</v>
      </c>
      <c r="D371" s="18">
        <f t="shared" si="14"/>
        <v>1600.5</v>
      </c>
      <c r="E371" s="18">
        <f>1265.4+1.8-40.2</f>
        <v>1227</v>
      </c>
      <c r="F371" s="18">
        <f>825.6+0.1-28.3</f>
        <v>797.4000000000001</v>
      </c>
      <c r="G371" s="13">
        <v>38.6</v>
      </c>
      <c r="H371" s="13"/>
      <c r="I371" s="13"/>
      <c r="J371" s="13">
        <f>50.2-18</f>
        <v>32.2</v>
      </c>
      <c r="K371" s="13">
        <f>313.9-11.2</f>
        <v>302.7</v>
      </c>
    </row>
    <row r="372" spans="1:11" s="5" customFormat="1" ht="15.75" customHeight="1">
      <c r="A372" s="13">
        <f t="shared" si="15"/>
        <v>368</v>
      </c>
      <c r="B372" s="31" t="s">
        <v>70</v>
      </c>
      <c r="C372" s="15">
        <v>60</v>
      </c>
      <c r="D372" s="18">
        <f t="shared" si="14"/>
        <v>6136.599999999999</v>
      </c>
      <c r="E372" s="13">
        <f>5424.9-79.9-44.7-44.6-41.6-118.1-41.6-54.9</f>
        <v>4999.499999999999</v>
      </c>
      <c r="F372" s="13">
        <f>3733.9-28.1-28.6-28.3-209.2-28.2-40.7</f>
        <v>3370.8000000000006</v>
      </c>
      <c r="G372" s="13">
        <f>44.7+44.6+41.6+898+41.6+54.9</f>
        <v>1125.4</v>
      </c>
      <c r="H372" s="13"/>
      <c r="I372" s="13"/>
      <c r="J372" s="13">
        <f>79.9-68.2</f>
        <v>11.700000000000003</v>
      </c>
      <c r="K372" s="13"/>
    </row>
    <row r="373" spans="1:11" s="5" customFormat="1" ht="15.75" customHeight="1">
      <c r="A373" s="13">
        <f t="shared" si="15"/>
        <v>369</v>
      </c>
      <c r="B373" s="31" t="s">
        <v>70</v>
      </c>
      <c r="C373" s="15" t="s">
        <v>109</v>
      </c>
      <c r="D373" s="18">
        <f aca="true" t="shared" si="16" ref="D373:D436">E373+G373+J373+K373</f>
        <v>1473.9</v>
      </c>
      <c r="E373" s="13">
        <v>1222.9</v>
      </c>
      <c r="F373" s="13">
        <v>794.5</v>
      </c>
      <c r="G373" s="13"/>
      <c r="H373" s="13"/>
      <c r="I373" s="13"/>
      <c r="J373" s="13">
        <v>251</v>
      </c>
      <c r="K373" s="13"/>
    </row>
    <row r="374" spans="1:11" s="5" customFormat="1" ht="15.75" customHeight="1">
      <c r="A374" s="13">
        <f t="shared" si="15"/>
        <v>370</v>
      </c>
      <c r="B374" s="31" t="s">
        <v>121</v>
      </c>
      <c r="C374" s="19">
        <v>2</v>
      </c>
      <c r="D374" s="18">
        <f t="shared" si="16"/>
        <v>3529.4</v>
      </c>
      <c r="E374" s="18">
        <v>2510.5</v>
      </c>
      <c r="F374" s="18">
        <v>1667.3</v>
      </c>
      <c r="G374" s="13">
        <v>540.4</v>
      </c>
      <c r="H374" s="13">
        <v>540.4</v>
      </c>
      <c r="I374" s="13"/>
      <c r="J374" s="13">
        <v>66.4</v>
      </c>
      <c r="K374" s="13">
        <v>412.1</v>
      </c>
    </row>
    <row r="375" spans="1:11" s="5" customFormat="1" ht="15.75" customHeight="1">
      <c r="A375" s="13">
        <f t="shared" si="15"/>
        <v>371</v>
      </c>
      <c r="B375" s="31" t="s">
        <v>121</v>
      </c>
      <c r="C375" s="15">
        <v>4</v>
      </c>
      <c r="D375" s="18">
        <f t="shared" si="16"/>
        <v>5203.3</v>
      </c>
      <c r="E375" s="13">
        <v>4362.8</v>
      </c>
      <c r="F375" s="13">
        <v>3004.3</v>
      </c>
      <c r="G375" s="13">
        <v>786.9</v>
      </c>
      <c r="H375" s="13"/>
      <c r="I375" s="13"/>
      <c r="J375" s="13">
        <v>53.6</v>
      </c>
      <c r="K375" s="13"/>
    </row>
    <row r="376" spans="1:11" s="5" customFormat="1" ht="15.75" customHeight="1">
      <c r="A376" s="13">
        <f t="shared" si="15"/>
        <v>372</v>
      </c>
      <c r="B376" s="31" t="s">
        <v>122</v>
      </c>
      <c r="C376" s="15">
        <v>8</v>
      </c>
      <c r="D376" s="18">
        <f t="shared" si="16"/>
        <v>635.9000000000001</v>
      </c>
      <c r="E376" s="13">
        <v>593.2</v>
      </c>
      <c r="F376" s="13">
        <v>370.2</v>
      </c>
      <c r="G376" s="13"/>
      <c r="H376" s="13"/>
      <c r="I376" s="13"/>
      <c r="J376" s="13">
        <v>42.7</v>
      </c>
      <c r="K376" s="13"/>
    </row>
    <row r="377" spans="1:11" s="5" customFormat="1" ht="15.75" customHeight="1">
      <c r="A377" s="13">
        <f t="shared" si="15"/>
        <v>373</v>
      </c>
      <c r="B377" s="31" t="s">
        <v>122</v>
      </c>
      <c r="C377" s="15" t="s">
        <v>123</v>
      </c>
      <c r="D377" s="18">
        <f t="shared" si="16"/>
        <v>735.7</v>
      </c>
      <c r="E377" s="13">
        <v>735.7</v>
      </c>
      <c r="F377" s="13">
        <v>481.8</v>
      </c>
      <c r="G377" s="13"/>
      <c r="H377" s="13"/>
      <c r="I377" s="13"/>
      <c r="J377" s="13"/>
      <c r="K377" s="13"/>
    </row>
    <row r="378" spans="1:11" s="5" customFormat="1" ht="15.75" customHeight="1">
      <c r="A378" s="13">
        <f t="shared" si="15"/>
        <v>374</v>
      </c>
      <c r="B378" s="31" t="s">
        <v>122</v>
      </c>
      <c r="C378" s="15" t="s">
        <v>124</v>
      </c>
      <c r="D378" s="18">
        <f t="shared" si="16"/>
        <v>1010.2</v>
      </c>
      <c r="E378" s="13">
        <v>958.2</v>
      </c>
      <c r="F378" s="13">
        <v>623.9</v>
      </c>
      <c r="G378" s="13"/>
      <c r="H378" s="13"/>
      <c r="I378" s="13"/>
      <c r="J378" s="13">
        <v>52</v>
      </c>
      <c r="K378" s="13"/>
    </row>
    <row r="379" spans="1:11" s="5" customFormat="1" ht="15.75" customHeight="1">
      <c r="A379" s="13">
        <f t="shared" si="15"/>
        <v>375</v>
      </c>
      <c r="B379" s="31" t="s">
        <v>122</v>
      </c>
      <c r="C379" s="15" t="s">
        <v>125</v>
      </c>
      <c r="D379" s="18">
        <f t="shared" si="16"/>
        <v>1009.8</v>
      </c>
      <c r="E379" s="13">
        <v>1009.8</v>
      </c>
      <c r="F379" s="13">
        <v>526.1</v>
      </c>
      <c r="G379" s="13"/>
      <c r="H379" s="13"/>
      <c r="I379" s="13"/>
      <c r="J379" s="13"/>
      <c r="K379" s="13"/>
    </row>
    <row r="380" spans="1:11" s="5" customFormat="1" ht="15.75" customHeight="1">
      <c r="A380" s="13">
        <f t="shared" si="15"/>
        <v>376</v>
      </c>
      <c r="B380" s="31" t="s">
        <v>126</v>
      </c>
      <c r="C380" s="15">
        <v>6</v>
      </c>
      <c r="D380" s="18">
        <f t="shared" si="16"/>
        <v>1175.8</v>
      </c>
      <c r="E380" s="13">
        <v>1175.8</v>
      </c>
      <c r="F380" s="13">
        <v>793.8</v>
      </c>
      <c r="G380" s="13"/>
      <c r="H380" s="13"/>
      <c r="I380" s="13"/>
      <c r="J380" s="13">
        <v>0</v>
      </c>
      <c r="K380" s="13"/>
    </row>
    <row r="381" spans="1:11" s="5" customFormat="1" ht="15.75" customHeight="1">
      <c r="A381" s="13">
        <f t="shared" si="15"/>
        <v>377</v>
      </c>
      <c r="B381" s="31" t="s">
        <v>126</v>
      </c>
      <c r="C381" s="15" t="s">
        <v>127</v>
      </c>
      <c r="D381" s="18">
        <f t="shared" si="16"/>
        <v>10447.4</v>
      </c>
      <c r="E381" s="13">
        <f>6011.7+4301.1-31.5</f>
        <v>10281.3</v>
      </c>
      <c r="F381" s="13">
        <v>3333.5</v>
      </c>
      <c r="G381" s="13">
        <v>16.7</v>
      </c>
      <c r="H381" s="13"/>
      <c r="I381" s="13"/>
      <c r="J381" s="13">
        <f>4435.7-4301.1+14.8</f>
        <v>149.39999999999947</v>
      </c>
      <c r="K381" s="13"/>
    </row>
    <row r="382" spans="1:11" s="5" customFormat="1" ht="15.75" customHeight="1">
      <c r="A382" s="13">
        <f t="shared" si="15"/>
        <v>378</v>
      </c>
      <c r="B382" s="31" t="s">
        <v>128</v>
      </c>
      <c r="C382" s="15">
        <v>1</v>
      </c>
      <c r="D382" s="18">
        <f t="shared" si="16"/>
        <v>1270.3</v>
      </c>
      <c r="E382" s="13">
        <f>1323.8-42.1-53.5</f>
        <v>1228.2</v>
      </c>
      <c r="F382" s="13">
        <f>806.5-17.5-33.8</f>
        <v>755.2</v>
      </c>
      <c r="G382" s="13">
        <v>42.1</v>
      </c>
      <c r="H382" s="13"/>
      <c r="I382" s="13"/>
      <c r="J382" s="13">
        <v>0</v>
      </c>
      <c r="K382" s="13"/>
    </row>
    <row r="383" spans="1:11" s="5" customFormat="1" ht="15.75" customHeight="1">
      <c r="A383" s="13">
        <f t="shared" si="15"/>
        <v>379</v>
      </c>
      <c r="B383" s="31" t="s">
        <v>128</v>
      </c>
      <c r="C383" s="15">
        <v>3</v>
      </c>
      <c r="D383" s="18">
        <f t="shared" si="16"/>
        <v>1374.5</v>
      </c>
      <c r="E383" s="13">
        <f>1235.8-42.8</f>
        <v>1193</v>
      </c>
      <c r="F383" s="13">
        <f>802.2-28.9</f>
        <v>773.3000000000001</v>
      </c>
      <c r="G383" s="13">
        <f>42.8+53.5</f>
        <v>96.3</v>
      </c>
      <c r="H383" s="13"/>
      <c r="I383" s="13"/>
      <c r="J383" s="13">
        <v>85.2</v>
      </c>
      <c r="K383" s="13"/>
    </row>
    <row r="384" spans="1:11" s="5" customFormat="1" ht="15.75" customHeight="1">
      <c r="A384" s="13">
        <f t="shared" si="15"/>
        <v>380</v>
      </c>
      <c r="B384" s="31" t="s">
        <v>128</v>
      </c>
      <c r="C384" s="19">
        <v>5</v>
      </c>
      <c r="D384" s="18">
        <f t="shared" si="16"/>
        <v>2745.4</v>
      </c>
      <c r="E384" s="18">
        <f>2553-46.2</f>
        <v>2506.8</v>
      </c>
      <c r="F384" s="18">
        <f>1618.3-27.8</f>
        <v>1590.5</v>
      </c>
      <c r="G384" s="13">
        <f>142.8+46.2</f>
        <v>189</v>
      </c>
      <c r="H384" s="13"/>
      <c r="I384" s="13"/>
      <c r="J384" s="13">
        <v>49.6</v>
      </c>
      <c r="K384" s="13"/>
    </row>
    <row r="385" spans="1:11" s="5" customFormat="1" ht="15.75" customHeight="1">
      <c r="A385" s="13">
        <f t="shared" si="15"/>
        <v>381</v>
      </c>
      <c r="B385" s="31" t="s">
        <v>128</v>
      </c>
      <c r="C385" s="19">
        <v>6</v>
      </c>
      <c r="D385" s="18">
        <f t="shared" si="16"/>
        <v>481.7</v>
      </c>
      <c r="E385" s="18">
        <v>470.2</v>
      </c>
      <c r="F385" s="18">
        <v>313.1</v>
      </c>
      <c r="G385" s="13"/>
      <c r="H385" s="13"/>
      <c r="I385" s="13"/>
      <c r="J385" s="13">
        <v>11.5</v>
      </c>
      <c r="K385" s="13"/>
    </row>
    <row r="386" spans="1:11" s="5" customFormat="1" ht="15.75" customHeight="1">
      <c r="A386" s="13">
        <f t="shared" si="15"/>
        <v>382</v>
      </c>
      <c r="B386" s="31" t="s">
        <v>128</v>
      </c>
      <c r="C386" s="19">
        <v>7</v>
      </c>
      <c r="D386" s="18">
        <f t="shared" si="16"/>
        <v>1471.6000000000001</v>
      </c>
      <c r="E386" s="18">
        <v>1009.9</v>
      </c>
      <c r="F386" s="18">
        <v>646.1</v>
      </c>
      <c r="G386" s="13">
        <v>357.8</v>
      </c>
      <c r="H386" s="13">
        <v>357.8</v>
      </c>
      <c r="I386" s="13"/>
      <c r="J386" s="13">
        <v>103.9</v>
      </c>
      <c r="K386" s="13"/>
    </row>
    <row r="387" spans="1:11" s="5" customFormat="1" ht="15.75" customHeight="1">
      <c r="A387" s="13">
        <f t="shared" si="15"/>
        <v>383</v>
      </c>
      <c r="B387" s="31" t="s">
        <v>128</v>
      </c>
      <c r="C387" s="15">
        <v>10</v>
      </c>
      <c r="D387" s="18">
        <f t="shared" si="16"/>
        <v>1914.1000000000001</v>
      </c>
      <c r="E387" s="13">
        <v>1602</v>
      </c>
      <c r="F387" s="13">
        <v>1031.5</v>
      </c>
      <c r="G387" s="13">
        <v>239.4</v>
      </c>
      <c r="H387" s="13"/>
      <c r="I387" s="13"/>
      <c r="J387" s="13">
        <v>72.7</v>
      </c>
      <c r="K387" s="13"/>
    </row>
    <row r="388" spans="1:11" s="5" customFormat="1" ht="15.75" customHeight="1">
      <c r="A388" s="13">
        <f t="shared" si="15"/>
        <v>384</v>
      </c>
      <c r="B388" s="31" t="s">
        <v>128</v>
      </c>
      <c r="C388" s="19">
        <v>11</v>
      </c>
      <c r="D388" s="18">
        <f t="shared" si="16"/>
        <v>5020.8</v>
      </c>
      <c r="E388" s="18">
        <f>4307.9-47.4-47.2</f>
        <v>4213.3</v>
      </c>
      <c r="F388" s="18">
        <f>2985.2-34.2-31</f>
        <v>2920</v>
      </c>
      <c r="G388" s="13">
        <f>632.3+47.4+47.2</f>
        <v>726.9</v>
      </c>
      <c r="H388" s="13">
        <v>632.3</v>
      </c>
      <c r="I388" s="13"/>
      <c r="J388" s="13">
        <v>80.6</v>
      </c>
      <c r="K388" s="13"/>
    </row>
    <row r="389" spans="1:11" s="5" customFormat="1" ht="15.75" customHeight="1">
      <c r="A389" s="13">
        <f t="shared" si="15"/>
        <v>385</v>
      </c>
      <c r="B389" s="31" t="s">
        <v>128</v>
      </c>
      <c r="C389" s="15">
        <v>12</v>
      </c>
      <c r="D389" s="18">
        <f t="shared" si="16"/>
        <v>1897.4</v>
      </c>
      <c r="E389" s="13">
        <f>1869-79.5</f>
        <v>1789.5</v>
      </c>
      <c r="F389" s="13">
        <f>1199.8-53</f>
        <v>1146.8</v>
      </c>
      <c r="G389" s="13">
        <v>79.5</v>
      </c>
      <c r="H389" s="13"/>
      <c r="I389" s="13"/>
      <c r="J389" s="13">
        <v>28.4</v>
      </c>
      <c r="K389" s="13"/>
    </row>
    <row r="390" spans="1:11" s="5" customFormat="1" ht="15.75" customHeight="1">
      <c r="A390" s="13">
        <f aca="true" t="shared" si="17" ref="A390:A453">A389+1</f>
        <v>386</v>
      </c>
      <c r="B390" s="31" t="s">
        <v>128</v>
      </c>
      <c r="C390" s="19">
        <v>15</v>
      </c>
      <c r="D390" s="18">
        <f t="shared" si="16"/>
        <v>2748.4</v>
      </c>
      <c r="E390" s="18">
        <v>2704.3</v>
      </c>
      <c r="F390" s="18">
        <v>1832.1</v>
      </c>
      <c r="G390" s="13"/>
      <c r="H390" s="13"/>
      <c r="I390" s="13"/>
      <c r="J390" s="13">
        <v>44.1</v>
      </c>
      <c r="K390" s="13"/>
    </row>
    <row r="391" spans="1:11" s="5" customFormat="1" ht="15.75" customHeight="1">
      <c r="A391" s="13">
        <f t="shared" si="17"/>
        <v>387</v>
      </c>
      <c r="B391" s="31" t="s">
        <v>128</v>
      </c>
      <c r="C391" s="15">
        <v>16</v>
      </c>
      <c r="D391" s="18">
        <f t="shared" si="16"/>
        <v>673.1</v>
      </c>
      <c r="E391" s="13">
        <v>663.1</v>
      </c>
      <c r="F391" s="13">
        <v>415.8</v>
      </c>
      <c r="G391" s="13"/>
      <c r="H391" s="13"/>
      <c r="I391" s="13"/>
      <c r="J391" s="13">
        <v>10</v>
      </c>
      <c r="K391" s="13"/>
    </row>
    <row r="392" spans="1:11" s="5" customFormat="1" ht="15.75" customHeight="1">
      <c r="A392" s="13">
        <f t="shared" si="17"/>
        <v>388</v>
      </c>
      <c r="B392" s="31" t="s">
        <v>128</v>
      </c>
      <c r="C392" s="15">
        <v>18</v>
      </c>
      <c r="D392" s="18">
        <f t="shared" si="16"/>
        <v>3589.6</v>
      </c>
      <c r="E392" s="13">
        <v>3555.1</v>
      </c>
      <c r="F392" s="13">
        <v>2370.2</v>
      </c>
      <c r="G392" s="13"/>
      <c r="H392" s="13"/>
      <c r="I392" s="13"/>
      <c r="J392" s="13">
        <v>34.5</v>
      </c>
      <c r="K392" s="13"/>
    </row>
    <row r="393" spans="1:11" s="5" customFormat="1" ht="15.75" customHeight="1">
      <c r="A393" s="13">
        <f t="shared" si="17"/>
        <v>389</v>
      </c>
      <c r="B393" s="31" t="s">
        <v>128</v>
      </c>
      <c r="C393" s="15">
        <v>19</v>
      </c>
      <c r="D393" s="18">
        <f t="shared" si="16"/>
        <v>3563</v>
      </c>
      <c r="E393" s="13">
        <f>3315.1-0.2</f>
        <v>3314.9</v>
      </c>
      <c r="F393" s="13">
        <f>2220.9-2.8</f>
        <v>2218.1</v>
      </c>
      <c r="G393" s="13">
        <v>171.4</v>
      </c>
      <c r="H393" s="13"/>
      <c r="I393" s="13"/>
      <c r="J393" s="13">
        <v>76.7</v>
      </c>
      <c r="K393" s="13"/>
    </row>
    <row r="394" spans="1:11" s="5" customFormat="1" ht="15.75" customHeight="1">
      <c r="A394" s="13">
        <f t="shared" si="17"/>
        <v>390</v>
      </c>
      <c r="B394" s="31" t="s">
        <v>128</v>
      </c>
      <c r="C394" s="15">
        <v>20</v>
      </c>
      <c r="D394" s="18">
        <f t="shared" si="16"/>
        <v>3611.1</v>
      </c>
      <c r="E394" s="13">
        <f>3611.1-30.8-42.7-45.8-46-44.6</f>
        <v>3401.2</v>
      </c>
      <c r="F394" s="13">
        <f>2389.6-19.1-27.2-30-30.3</f>
        <v>2283</v>
      </c>
      <c r="G394" s="13">
        <f>30.8+42.7+46+44.6</f>
        <v>164.1</v>
      </c>
      <c r="H394" s="13"/>
      <c r="I394" s="13"/>
      <c r="J394" s="13">
        <v>45.8</v>
      </c>
      <c r="K394" s="13"/>
    </row>
    <row r="395" spans="1:11" s="5" customFormat="1" ht="15.75" customHeight="1">
      <c r="A395" s="13">
        <f t="shared" si="17"/>
        <v>391</v>
      </c>
      <c r="B395" s="31" t="s">
        <v>128</v>
      </c>
      <c r="C395" s="15">
        <v>21</v>
      </c>
      <c r="D395" s="18">
        <f t="shared" si="16"/>
        <v>5627</v>
      </c>
      <c r="E395" s="13">
        <v>5586.9</v>
      </c>
      <c r="F395" s="13">
        <v>3404.3</v>
      </c>
      <c r="G395" s="13"/>
      <c r="H395" s="13"/>
      <c r="I395" s="13"/>
      <c r="J395" s="13">
        <v>40.1</v>
      </c>
      <c r="K395" s="13"/>
    </row>
    <row r="396" spans="1:11" s="5" customFormat="1" ht="15.75" customHeight="1">
      <c r="A396" s="13">
        <f t="shared" si="17"/>
        <v>392</v>
      </c>
      <c r="B396" s="31" t="s">
        <v>128</v>
      </c>
      <c r="C396" s="15">
        <v>22</v>
      </c>
      <c r="D396" s="18">
        <f t="shared" si="16"/>
        <v>3593.7999999999997</v>
      </c>
      <c r="E396" s="13">
        <f>3551.1-42.7</f>
        <v>3508.4</v>
      </c>
      <c r="F396" s="13">
        <f>2358.9-27.1</f>
        <v>2331.8</v>
      </c>
      <c r="G396" s="13">
        <v>42.7</v>
      </c>
      <c r="H396" s="13"/>
      <c r="I396" s="13"/>
      <c r="J396" s="13">
        <v>42.7</v>
      </c>
      <c r="K396" s="13"/>
    </row>
    <row r="397" spans="1:11" s="5" customFormat="1" ht="15.75" customHeight="1">
      <c r="A397" s="13">
        <f t="shared" si="17"/>
        <v>393</v>
      </c>
      <c r="B397" s="31" t="s">
        <v>128</v>
      </c>
      <c r="C397" s="15">
        <v>24</v>
      </c>
      <c r="D397" s="18">
        <f t="shared" si="16"/>
        <v>3507.8</v>
      </c>
      <c r="E397" s="13">
        <f>2609.8+32.9</f>
        <v>2642.7000000000003</v>
      </c>
      <c r="F397" s="13">
        <v>1693.4</v>
      </c>
      <c r="G397" s="13">
        <v>799.5</v>
      </c>
      <c r="H397" s="13"/>
      <c r="I397" s="13"/>
      <c r="J397" s="13">
        <v>65.6</v>
      </c>
      <c r="K397" s="13"/>
    </row>
    <row r="398" spans="1:11" s="5" customFormat="1" ht="15.75" customHeight="1">
      <c r="A398" s="13">
        <f t="shared" si="17"/>
        <v>394</v>
      </c>
      <c r="B398" s="31" t="s">
        <v>128</v>
      </c>
      <c r="C398" s="15">
        <v>26</v>
      </c>
      <c r="D398" s="18">
        <f t="shared" si="16"/>
        <v>676.8</v>
      </c>
      <c r="E398" s="13">
        <v>676.8</v>
      </c>
      <c r="F398" s="13">
        <v>425.1</v>
      </c>
      <c r="G398" s="13"/>
      <c r="H398" s="13"/>
      <c r="I398" s="13"/>
      <c r="J398" s="13">
        <v>0</v>
      </c>
      <c r="K398" s="13"/>
    </row>
    <row r="399" spans="1:11" s="5" customFormat="1" ht="15.75" customHeight="1">
      <c r="A399" s="13">
        <f t="shared" si="17"/>
        <v>395</v>
      </c>
      <c r="B399" s="31" t="s">
        <v>128</v>
      </c>
      <c r="C399" s="15">
        <v>28</v>
      </c>
      <c r="D399" s="18">
        <f t="shared" si="16"/>
        <v>1172.7</v>
      </c>
      <c r="E399" s="13">
        <f>961-29.5</f>
        <v>931.5</v>
      </c>
      <c r="F399" s="13">
        <f>655.7-18.2</f>
        <v>637.5</v>
      </c>
      <c r="G399" s="13">
        <f>29.5+160.9</f>
        <v>190.4</v>
      </c>
      <c r="H399" s="13"/>
      <c r="I399" s="13"/>
      <c r="J399" s="13">
        <f>160.9-110.1</f>
        <v>50.80000000000001</v>
      </c>
      <c r="K399" s="13"/>
    </row>
    <row r="400" spans="1:11" s="5" customFormat="1" ht="15.75" customHeight="1">
      <c r="A400" s="13">
        <f t="shared" si="17"/>
        <v>396</v>
      </c>
      <c r="B400" s="31" t="s">
        <v>128</v>
      </c>
      <c r="C400" s="15" t="s">
        <v>101</v>
      </c>
      <c r="D400" s="18">
        <f t="shared" si="16"/>
        <v>2735.1</v>
      </c>
      <c r="E400" s="13">
        <v>2691.1</v>
      </c>
      <c r="F400" s="13">
        <v>1822.4</v>
      </c>
      <c r="G400" s="13"/>
      <c r="H400" s="13"/>
      <c r="I400" s="13"/>
      <c r="J400" s="13">
        <v>44</v>
      </c>
      <c r="K400" s="13"/>
    </row>
    <row r="401" spans="1:11" s="5" customFormat="1" ht="15.75" customHeight="1">
      <c r="A401" s="13">
        <f t="shared" si="17"/>
        <v>397</v>
      </c>
      <c r="B401" s="31" t="s">
        <v>128</v>
      </c>
      <c r="C401" s="15" t="s">
        <v>129</v>
      </c>
      <c r="D401" s="18">
        <f t="shared" si="16"/>
        <v>3489.5</v>
      </c>
      <c r="E401" s="13">
        <v>3159.9</v>
      </c>
      <c r="F401" s="13">
        <v>2112.1</v>
      </c>
      <c r="G401" s="13"/>
      <c r="H401" s="13"/>
      <c r="I401" s="13"/>
      <c r="J401" s="13">
        <v>329.6</v>
      </c>
      <c r="K401" s="13"/>
    </row>
    <row r="402" spans="1:11" s="5" customFormat="1" ht="15.75" customHeight="1">
      <c r="A402" s="13">
        <f t="shared" si="17"/>
        <v>398</v>
      </c>
      <c r="B402" s="31" t="s">
        <v>130</v>
      </c>
      <c r="C402" s="15">
        <v>15</v>
      </c>
      <c r="D402" s="18">
        <f t="shared" si="16"/>
        <v>3507.8999999999996</v>
      </c>
      <c r="E402" s="13">
        <v>3154.5</v>
      </c>
      <c r="F402" s="13">
        <v>2114.8</v>
      </c>
      <c r="G402" s="13">
        <v>287.7</v>
      </c>
      <c r="H402" s="13"/>
      <c r="I402" s="13"/>
      <c r="J402" s="13">
        <f>123.2-57.5</f>
        <v>65.7</v>
      </c>
      <c r="K402" s="13"/>
    </row>
    <row r="403" spans="1:11" s="5" customFormat="1" ht="15.75" customHeight="1">
      <c r="A403" s="13">
        <f t="shared" si="17"/>
        <v>399</v>
      </c>
      <c r="B403" s="31" t="s">
        <v>130</v>
      </c>
      <c r="C403" s="19">
        <v>17</v>
      </c>
      <c r="D403" s="18">
        <f t="shared" si="16"/>
        <v>3730.2</v>
      </c>
      <c r="E403" s="18">
        <v>3199</v>
      </c>
      <c r="F403" s="18">
        <v>1880</v>
      </c>
      <c r="G403" s="13">
        <v>531.2</v>
      </c>
      <c r="H403" s="13">
        <v>448.3</v>
      </c>
      <c r="I403" s="13">
        <v>82.9</v>
      </c>
      <c r="J403" s="13"/>
      <c r="K403" s="13"/>
    </row>
    <row r="404" spans="1:11" s="5" customFormat="1" ht="15.75" customHeight="1">
      <c r="A404" s="13">
        <f t="shared" si="17"/>
        <v>400</v>
      </c>
      <c r="B404" s="31" t="s">
        <v>105</v>
      </c>
      <c r="C404" s="19">
        <v>15</v>
      </c>
      <c r="D404" s="18">
        <f t="shared" si="16"/>
        <v>3528.6000000000004</v>
      </c>
      <c r="E404" s="18">
        <f>2537.4+0.5</f>
        <v>2537.9</v>
      </c>
      <c r="F404" s="18">
        <f>1632.3+6.7</f>
        <v>1639</v>
      </c>
      <c r="G404" s="13">
        <f>364.4+331+250</f>
        <v>945.4</v>
      </c>
      <c r="H404" s="13">
        <v>364.4</v>
      </c>
      <c r="I404" s="13"/>
      <c r="J404" s="13">
        <f>52.6-7.3</f>
        <v>45.300000000000004</v>
      </c>
      <c r="K404" s="13"/>
    </row>
    <row r="405" spans="1:11" s="5" customFormat="1" ht="15.75" customHeight="1">
      <c r="A405" s="13">
        <f t="shared" si="17"/>
        <v>401</v>
      </c>
      <c r="B405" s="31" t="s">
        <v>105</v>
      </c>
      <c r="C405" s="15">
        <v>17</v>
      </c>
      <c r="D405" s="18">
        <f t="shared" si="16"/>
        <v>3508.9</v>
      </c>
      <c r="E405" s="13">
        <f>2325.3-193</f>
        <v>2132.3</v>
      </c>
      <c r="F405" s="13">
        <f>1417-112.3</f>
        <v>1304.7</v>
      </c>
      <c r="G405" s="13">
        <v>193</v>
      </c>
      <c r="H405" s="13"/>
      <c r="I405" s="13"/>
      <c r="J405" s="13">
        <v>1183.6</v>
      </c>
      <c r="K405" s="13"/>
    </row>
    <row r="406" spans="1:11" s="5" customFormat="1" ht="15.75" customHeight="1">
      <c r="A406" s="13">
        <f t="shared" si="17"/>
        <v>402</v>
      </c>
      <c r="B406" s="31" t="s">
        <v>131</v>
      </c>
      <c r="C406" s="15">
        <v>4</v>
      </c>
      <c r="D406" s="18">
        <f t="shared" si="16"/>
        <v>1629.1000000000001</v>
      </c>
      <c r="E406" s="13">
        <f>1535.9-71.8-31.7-22.8</f>
        <v>1409.6000000000001</v>
      </c>
      <c r="F406" s="13">
        <f>1004.6-45.9-19+9.7</f>
        <v>949.4000000000001</v>
      </c>
      <c r="G406" s="13">
        <f>71.8+31.7+73.2</f>
        <v>176.7</v>
      </c>
      <c r="H406" s="13"/>
      <c r="I406" s="13"/>
      <c r="J406" s="13">
        <f>52.8-10</f>
        <v>42.8</v>
      </c>
      <c r="K406" s="13"/>
    </row>
    <row r="407" spans="1:11" s="5" customFormat="1" ht="15.75" customHeight="1">
      <c r="A407" s="13">
        <f t="shared" si="17"/>
        <v>403</v>
      </c>
      <c r="B407" s="31" t="s">
        <v>131</v>
      </c>
      <c r="C407" s="15">
        <v>6</v>
      </c>
      <c r="D407" s="18">
        <f t="shared" si="16"/>
        <v>3976.2999999999997</v>
      </c>
      <c r="E407" s="13">
        <f>3643.3-3.8+4.5</f>
        <v>3644</v>
      </c>
      <c r="F407" s="13">
        <f>2217.6+24.2+3.3</f>
        <v>2245.1</v>
      </c>
      <c r="G407" s="13">
        <v>252.2</v>
      </c>
      <c r="H407" s="13"/>
      <c r="I407" s="13"/>
      <c r="J407" s="13">
        <f>328.5-248.4</f>
        <v>80.1</v>
      </c>
      <c r="K407" s="13"/>
    </row>
    <row r="408" spans="1:11" s="5" customFormat="1" ht="15.75" customHeight="1">
      <c r="A408" s="13">
        <f t="shared" si="17"/>
        <v>404</v>
      </c>
      <c r="B408" s="31" t="s">
        <v>131</v>
      </c>
      <c r="C408" s="15">
        <v>7</v>
      </c>
      <c r="D408" s="18">
        <f t="shared" si="16"/>
        <v>5764.3</v>
      </c>
      <c r="E408" s="13">
        <v>3751.5</v>
      </c>
      <c r="F408" s="13">
        <v>2400.1</v>
      </c>
      <c r="G408" s="13">
        <v>2012.8</v>
      </c>
      <c r="H408" s="13"/>
      <c r="I408" s="13"/>
      <c r="J408" s="13"/>
      <c r="K408" s="13"/>
    </row>
    <row r="409" spans="1:11" s="5" customFormat="1" ht="15.75" customHeight="1">
      <c r="A409" s="13">
        <f t="shared" si="17"/>
        <v>405</v>
      </c>
      <c r="B409" s="25" t="s">
        <v>131</v>
      </c>
      <c r="C409" s="19">
        <v>8</v>
      </c>
      <c r="D409" s="18">
        <f t="shared" si="16"/>
        <v>879.1</v>
      </c>
      <c r="E409" s="18">
        <f>637.2-72.5</f>
        <v>564.7</v>
      </c>
      <c r="F409" s="18">
        <f>420.3-50.4</f>
        <v>369.90000000000003</v>
      </c>
      <c r="G409" s="13">
        <f>69.8+72.5+61.5</f>
        <v>203.8</v>
      </c>
      <c r="H409" s="13">
        <v>69.8</v>
      </c>
      <c r="I409" s="13"/>
      <c r="J409" s="13">
        <v>110.6</v>
      </c>
      <c r="K409" s="13"/>
    </row>
    <row r="410" spans="1:11" s="5" customFormat="1" ht="15.75" customHeight="1">
      <c r="A410" s="13">
        <f t="shared" si="17"/>
        <v>406</v>
      </c>
      <c r="B410" s="31" t="s">
        <v>131</v>
      </c>
      <c r="C410" s="15">
        <v>9</v>
      </c>
      <c r="D410" s="18">
        <f t="shared" si="16"/>
        <v>3232.2</v>
      </c>
      <c r="E410" s="13">
        <f>2824.1-41.2</f>
        <v>2782.9</v>
      </c>
      <c r="F410" s="13">
        <f>1906-13.2</f>
        <v>1892.8</v>
      </c>
      <c r="G410" s="13">
        <v>41.2</v>
      </c>
      <c r="H410" s="13"/>
      <c r="I410" s="13"/>
      <c r="J410" s="13">
        <v>408.1</v>
      </c>
      <c r="K410" s="13"/>
    </row>
    <row r="411" spans="1:11" s="5" customFormat="1" ht="15.75" customHeight="1">
      <c r="A411" s="13">
        <f t="shared" si="17"/>
        <v>407</v>
      </c>
      <c r="B411" s="31" t="s">
        <v>131</v>
      </c>
      <c r="C411" s="26">
        <v>13</v>
      </c>
      <c r="D411" s="18">
        <f t="shared" si="16"/>
        <v>5582.599999999999</v>
      </c>
      <c r="E411" s="26">
        <v>3035.7</v>
      </c>
      <c r="F411" s="26">
        <v>1854.3</v>
      </c>
      <c r="G411" s="26">
        <v>1498.6</v>
      </c>
      <c r="H411" s="26"/>
      <c r="I411" s="26"/>
      <c r="J411" s="26">
        <v>1048.3</v>
      </c>
      <c r="K411" s="26"/>
    </row>
    <row r="412" spans="1:11" s="5" customFormat="1" ht="15.75" customHeight="1">
      <c r="A412" s="13">
        <f t="shared" si="17"/>
        <v>408</v>
      </c>
      <c r="B412" s="31" t="s">
        <v>131</v>
      </c>
      <c r="C412" s="15">
        <v>17</v>
      </c>
      <c r="D412" s="18">
        <f t="shared" si="16"/>
        <v>1884.8</v>
      </c>
      <c r="E412" s="13">
        <f>1262.2-5.2</f>
        <v>1257</v>
      </c>
      <c r="F412" s="13">
        <v>705</v>
      </c>
      <c r="G412" s="13">
        <v>382.8</v>
      </c>
      <c r="H412" s="13"/>
      <c r="I412" s="13"/>
      <c r="J412" s="13">
        <f>114.9+130.1</f>
        <v>245</v>
      </c>
      <c r="K412" s="13"/>
    </row>
    <row r="413" spans="1:11" s="5" customFormat="1" ht="15.75" customHeight="1">
      <c r="A413" s="13">
        <f t="shared" si="17"/>
        <v>409</v>
      </c>
      <c r="B413" s="31" t="s">
        <v>131</v>
      </c>
      <c r="C413" s="15">
        <v>19</v>
      </c>
      <c r="D413" s="18">
        <f t="shared" si="16"/>
        <v>5561.5</v>
      </c>
      <c r="E413" s="13">
        <f>4587.8-72.4-72.2+33.2</f>
        <v>4476.400000000001</v>
      </c>
      <c r="F413" s="13">
        <f>2787.2-42-45.2+45.2</f>
        <v>2745.2</v>
      </c>
      <c r="G413" s="13">
        <f>72.4+72.2+940.5</f>
        <v>1085.1</v>
      </c>
      <c r="H413" s="13"/>
      <c r="I413" s="13"/>
      <c r="J413" s="13">
        <f>368.9-368.9</f>
        <v>0</v>
      </c>
      <c r="K413" s="13"/>
    </row>
    <row r="414" spans="1:11" s="5" customFormat="1" ht="15.75" customHeight="1">
      <c r="A414" s="13">
        <f t="shared" si="17"/>
        <v>410</v>
      </c>
      <c r="B414" s="31" t="s">
        <v>131</v>
      </c>
      <c r="C414" s="15">
        <v>21</v>
      </c>
      <c r="D414" s="18">
        <f t="shared" si="16"/>
        <v>3965.2999999999997</v>
      </c>
      <c r="E414" s="13">
        <v>2589.1</v>
      </c>
      <c r="F414" s="13">
        <v>1711.3</v>
      </c>
      <c r="G414" s="13">
        <v>1295.8</v>
      </c>
      <c r="H414" s="13"/>
      <c r="I414" s="13"/>
      <c r="J414" s="13">
        <v>80.4</v>
      </c>
      <c r="K414" s="13"/>
    </row>
    <row r="415" spans="1:11" s="5" customFormat="1" ht="15.75" customHeight="1">
      <c r="A415" s="13">
        <f t="shared" si="17"/>
        <v>411</v>
      </c>
      <c r="B415" s="31" t="s">
        <v>131</v>
      </c>
      <c r="C415" s="15">
        <v>23</v>
      </c>
      <c r="D415" s="18">
        <f t="shared" si="16"/>
        <v>4655.599999999999</v>
      </c>
      <c r="E415" s="13">
        <f>4277.4-88.2-54.3-54.3</f>
        <v>4080.5999999999995</v>
      </c>
      <c r="F415" s="13">
        <f>2615.2-56.2-31.7-31.7</f>
        <v>2495.6000000000004</v>
      </c>
      <c r="G415" s="13">
        <f>88.2+54.3+54.3+378.2</f>
        <v>575</v>
      </c>
      <c r="H415" s="13"/>
      <c r="I415" s="13"/>
      <c r="J415" s="13">
        <f>177.2-177.2</f>
        <v>0</v>
      </c>
      <c r="K415" s="13"/>
    </row>
    <row r="416" spans="1:11" s="5" customFormat="1" ht="15.75" customHeight="1">
      <c r="A416" s="13">
        <f t="shared" si="17"/>
        <v>412</v>
      </c>
      <c r="B416" s="31" t="s">
        <v>131</v>
      </c>
      <c r="C416" s="19">
        <v>25</v>
      </c>
      <c r="D416" s="18">
        <f t="shared" si="16"/>
        <v>3544.2999999999997</v>
      </c>
      <c r="E416" s="18">
        <f>2541.9+2</f>
        <v>2543.9</v>
      </c>
      <c r="F416" s="18">
        <f>1719.2-39.7</f>
        <v>1679.5</v>
      </c>
      <c r="G416" s="13">
        <f>980.8-26.5</f>
        <v>954.3</v>
      </c>
      <c r="H416" s="13">
        <v>933</v>
      </c>
      <c r="I416" s="13"/>
      <c r="J416" s="13">
        <v>46.1</v>
      </c>
      <c r="K416" s="13"/>
    </row>
    <row r="417" spans="1:11" s="5" customFormat="1" ht="15.75" customHeight="1">
      <c r="A417" s="13">
        <f t="shared" si="17"/>
        <v>413</v>
      </c>
      <c r="B417" s="31" t="s">
        <v>131</v>
      </c>
      <c r="C417" s="15" t="s">
        <v>132</v>
      </c>
      <c r="D417" s="18">
        <f t="shared" si="16"/>
        <v>174.70000000000002</v>
      </c>
      <c r="E417" s="13">
        <f>156.4+3.5</f>
        <v>159.9</v>
      </c>
      <c r="F417" s="13">
        <v>101.9</v>
      </c>
      <c r="G417" s="13"/>
      <c r="H417" s="13"/>
      <c r="I417" s="13"/>
      <c r="J417" s="13">
        <v>14.8</v>
      </c>
      <c r="K417" s="13"/>
    </row>
    <row r="418" spans="1:11" s="5" customFormat="1" ht="15.75" customHeight="1">
      <c r="A418" s="13">
        <f t="shared" si="17"/>
        <v>414</v>
      </c>
      <c r="B418" s="31" t="s">
        <v>131</v>
      </c>
      <c r="C418" s="15" t="s">
        <v>133</v>
      </c>
      <c r="D418" s="16">
        <f t="shared" si="16"/>
        <v>419.40000000000003</v>
      </c>
      <c r="E418" s="21">
        <v>397.3</v>
      </c>
      <c r="F418" s="21">
        <v>273.7</v>
      </c>
      <c r="G418" s="21"/>
      <c r="H418" s="21"/>
      <c r="I418" s="21"/>
      <c r="J418" s="21">
        <v>22.1</v>
      </c>
      <c r="K418" s="21"/>
    </row>
    <row r="419" spans="1:11" s="5" customFormat="1" ht="15.75" customHeight="1">
      <c r="A419" s="13">
        <f t="shared" si="17"/>
        <v>415</v>
      </c>
      <c r="B419" s="31" t="s">
        <v>38</v>
      </c>
      <c r="C419" s="19">
        <v>52</v>
      </c>
      <c r="D419" s="18">
        <f t="shared" si="16"/>
        <v>3240.6</v>
      </c>
      <c r="E419" s="18">
        <f>3188.4-44.8-191.6-42</f>
        <v>2910</v>
      </c>
      <c r="F419" s="18">
        <f>2057.4-29.4-121.1-27.9</f>
        <v>1879</v>
      </c>
      <c r="G419" s="13">
        <f>44.8+191.6+42</f>
        <v>278.4</v>
      </c>
      <c r="H419" s="13"/>
      <c r="I419" s="13"/>
      <c r="J419" s="13">
        <v>52.2</v>
      </c>
      <c r="K419" s="13"/>
    </row>
    <row r="420" spans="1:11" s="5" customFormat="1" ht="15.75" customHeight="1">
      <c r="A420" s="13">
        <f t="shared" si="17"/>
        <v>416</v>
      </c>
      <c r="B420" s="31" t="s">
        <v>38</v>
      </c>
      <c r="C420" s="15">
        <v>54</v>
      </c>
      <c r="D420" s="18">
        <f t="shared" si="16"/>
        <v>5045.5</v>
      </c>
      <c r="E420" s="13">
        <f>3672.1-57.7</f>
        <v>3614.4</v>
      </c>
      <c r="F420" s="13">
        <f>2408.08-0.78</f>
        <v>2407.2999999999997</v>
      </c>
      <c r="G420" s="13">
        <v>1373.4</v>
      </c>
      <c r="H420" s="13"/>
      <c r="I420" s="13"/>
      <c r="J420" s="13">
        <f>971.2-913.5</f>
        <v>57.700000000000045</v>
      </c>
      <c r="K420" s="13"/>
    </row>
    <row r="421" spans="1:11" s="5" customFormat="1" ht="15.75" customHeight="1">
      <c r="A421" s="13">
        <f t="shared" si="17"/>
        <v>417</v>
      </c>
      <c r="B421" s="31" t="s">
        <v>38</v>
      </c>
      <c r="C421" s="15">
        <v>56</v>
      </c>
      <c r="D421" s="18">
        <f t="shared" si="16"/>
        <v>2579.3999999999996</v>
      </c>
      <c r="E421" s="13">
        <f>2532-140.6-40.4+0.2-44.3</f>
        <v>2306.8999999999996</v>
      </c>
      <c r="F421" s="13">
        <f>1545.5-92.7-28.1+92.7-28</f>
        <v>1489.4</v>
      </c>
      <c r="G421" s="13">
        <f>140.6+40.4-0.2+44.3</f>
        <v>225.10000000000002</v>
      </c>
      <c r="H421" s="13"/>
      <c r="I421" s="13"/>
      <c r="J421" s="13">
        <v>47.4</v>
      </c>
      <c r="K421" s="13"/>
    </row>
    <row r="422" spans="1:11" s="5" customFormat="1" ht="15.75" customHeight="1">
      <c r="A422" s="13">
        <f t="shared" si="17"/>
        <v>418</v>
      </c>
      <c r="B422" s="31" t="s">
        <v>38</v>
      </c>
      <c r="C422" s="19">
        <v>58</v>
      </c>
      <c r="D422" s="18">
        <f t="shared" si="16"/>
        <v>3929.5</v>
      </c>
      <c r="E422" s="18">
        <v>2577.3</v>
      </c>
      <c r="F422" s="18">
        <v>1740.6</v>
      </c>
      <c r="G422" s="13">
        <v>1268.2</v>
      </c>
      <c r="H422" s="13"/>
      <c r="I422" s="13"/>
      <c r="J422" s="13">
        <v>84</v>
      </c>
      <c r="K422" s="13"/>
    </row>
    <row r="423" spans="1:11" s="5" customFormat="1" ht="15.75" customHeight="1">
      <c r="A423" s="13">
        <f t="shared" si="17"/>
        <v>419</v>
      </c>
      <c r="B423" s="31" t="s">
        <v>38</v>
      </c>
      <c r="C423" s="15">
        <v>95</v>
      </c>
      <c r="D423" s="18">
        <f t="shared" si="16"/>
        <v>13815.8</v>
      </c>
      <c r="E423" s="13">
        <f>13567.4-32.8-33.6-66.7-68.5+2.9</f>
        <v>13368.699999999999</v>
      </c>
      <c r="F423" s="13">
        <f>8404.5-17.4-17.1-43.5-42.8</f>
        <v>8283.7</v>
      </c>
      <c r="G423" s="13">
        <f>33.6+33.8+66.7+68.5</f>
        <v>202.60000000000002</v>
      </c>
      <c r="H423" s="13"/>
      <c r="I423" s="13"/>
      <c r="J423" s="13">
        <v>244.5</v>
      </c>
      <c r="K423" s="13"/>
    </row>
    <row r="424" spans="1:11" s="5" customFormat="1" ht="15.75" customHeight="1">
      <c r="A424" s="13">
        <f t="shared" si="17"/>
        <v>420</v>
      </c>
      <c r="B424" s="31" t="s">
        <v>38</v>
      </c>
      <c r="C424" s="15">
        <v>97</v>
      </c>
      <c r="D424" s="18">
        <f t="shared" si="16"/>
        <v>9685.400000000001</v>
      </c>
      <c r="E424" s="13">
        <f>9573.6-78.3</f>
        <v>9495.300000000001</v>
      </c>
      <c r="F424" s="13">
        <f>5769.1-61.7</f>
        <v>5707.400000000001</v>
      </c>
      <c r="G424" s="13"/>
      <c r="H424" s="13"/>
      <c r="I424" s="13"/>
      <c r="J424" s="13">
        <f>94.1+96</f>
        <v>190.1</v>
      </c>
      <c r="K424" s="13"/>
    </row>
    <row r="425" spans="1:11" s="5" customFormat="1" ht="15.75" customHeight="1">
      <c r="A425" s="13">
        <f t="shared" si="17"/>
        <v>421</v>
      </c>
      <c r="B425" s="31" t="s">
        <v>38</v>
      </c>
      <c r="C425" s="15" t="s">
        <v>134</v>
      </c>
      <c r="D425" s="18">
        <f t="shared" si="16"/>
        <v>10843.599999999999</v>
      </c>
      <c r="E425" s="13">
        <f>10734.5+16.4+16.4+6.6-65.6</f>
        <v>10708.3</v>
      </c>
      <c r="F425" s="13">
        <f>6526.4+16.4+16.4</f>
        <v>6559.199999999999</v>
      </c>
      <c r="G425" s="13"/>
      <c r="H425" s="13"/>
      <c r="I425" s="13"/>
      <c r="J425" s="13">
        <f>108.2-17-17+60.2+0.9</f>
        <v>135.3</v>
      </c>
      <c r="K425" s="13"/>
    </row>
    <row r="426" spans="1:11" s="5" customFormat="1" ht="15.75" customHeight="1">
      <c r="A426" s="13">
        <f t="shared" si="17"/>
        <v>422</v>
      </c>
      <c r="B426" s="31" t="s">
        <v>38</v>
      </c>
      <c r="C426" s="15" t="s">
        <v>135</v>
      </c>
      <c r="D426" s="18">
        <f t="shared" si="16"/>
        <v>6941.2</v>
      </c>
      <c r="E426" s="13">
        <f>5929.7+52.3</f>
        <v>5982</v>
      </c>
      <c r="F426" s="13">
        <v>3135.5</v>
      </c>
      <c r="G426" s="13">
        <v>769</v>
      </c>
      <c r="H426" s="13"/>
      <c r="I426" s="13"/>
      <c r="J426" s="13">
        <v>190.2</v>
      </c>
      <c r="K426" s="13"/>
    </row>
    <row r="427" spans="1:11" s="5" customFormat="1" ht="15.75" customHeight="1">
      <c r="A427" s="13">
        <f t="shared" si="17"/>
        <v>423</v>
      </c>
      <c r="B427" s="31" t="s">
        <v>38</v>
      </c>
      <c r="C427" s="15" t="s">
        <v>136</v>
      </c>
      <c r="D427" s="18">
        <f t="shared" si="16"/>
        <v>3317.5</v>
      </c>
      <c r="E427" s="13">
        <f>3273.4-183</f>
        <v>3090.4</v>
      </c>
      <c r="F427" s="13">
        <f>1971-126.1</f>
        <v>1844.9</v>
      </c>
      <c r="G427" s="13">
        <v>183</v>
      </c>
      <c r="H427" s="13"/>
      <c r="I427" s="13"/>
      <c r="J427" s="13">
        <v>44.1</v>
      </c>
      <c r="K427" s="13"/>
    </row>
    <row r="428" spans="1:11" s="5" customFormat="1" ht="15.75" customHeight="1">
      <c r="A428" s="13">
        <f t="shared" si="17"/>
        <v>424</v>
      </c>
      <c r="B428" s="31" t="s">
        <v>41</v>
      </c>
      <c r="C428" s="19">
        <v>27</v>
      </c>
      <c r="D428" s="18">
        <f t="shared" si="16"/>
        <v>521.7</v>
      </c>
      <c r="E428" s="18">
        <v>521.7</v>
      </c>
      <c r="F428" s="18">
        <v>329.3</v>
      </c>
      <c r="G428" s="13"/>
      <c r="H428" s="13"/>
      <c r="I428" s="13"/>
      <c r="J428" s="13"/>
      <c r="K428" s="13"/>
    </row>
    <row r="429" spans="1:11" s="5" customFormat="1" ht="15.75" customHeight="1">
      <c r="A429" s="13">
        <f t="shared" si="17"/>
        <v>425</v>
      </c>
      <c r="B429" s="31" t="s">
        <v>41</v>
      </c>
      <c r="C429" s="15">
        <v>29</v>
      </c>
      <c r="D429" s="18">
        <f t="shared" si="16"/>
        <v>425.5</v>
      </c>
      <c r="E429" s="13">
        <f>425.5-32.1</f>
        <v>393.4</v>
      </c>
      <c r="F429" s="13">
        <v>271.5</v>
      </c>
      <c r="G429" s="13"/>
      <c r="H429" s="13"/>
      <c r="I429" s="13"/>
      <c r="J429" s="13">
        <v>32.1</v>
      </c>
      <c r="K429" s="13"/>
    </row>
    <row r="430" spans="1:11" s="5" customFormat="1" ht="15.75" customHeight="1">
      <c r="A430" s="13">
        <f t="shared" si="17"/>
        <v>426</v>
      </c>
      <c r="B430" s="31" t="s">
        <v>41</v>
      </c>
      <c r="C430" s="19">
        <v>31</v>
      </c>
      <c r="D430" s="18">
        <f t="shared" si="16"/>
        <v>461.9</v>
      </c>
      <c r="E430" s="18">
        <v>461.9</v>
      </c>
      <c r="F430" s="18">
        <v>282</v>
      </c>
      <c r="G430" s="13"/>
      <c r="H430" s="13"/>
      <c r="I430" s="13"/>
      <c r="J430" s="13"/>
      <c r="K430" s="13"/>
    </row>
    <row r="431" spans="1:11" s="5" customFormat="1" ht="15.75" customHeight="1">
      <c r="A431" s="13">
        <f t="shared" si="17"/>
        <v>427</v>
      </c>
      <c r="B431" s="31" t="s">
        <v>41</v>
      </c>
      <c r="C431" s="15">
        <v>37</v>
      </c>
      <c r="D431" s="18">
        <f t="shared" si="16"/>
        <v>4462.2</v>
      </c>
      <c r="E431" s="13">
        <f>4271.6-67.2</f>
        <v>4204.400000000001</v>
      </c>
      <c r="F431" s="13">
        <f>2696.1-44.3-62</f>
        <v>2589.7999999999997</v>
      </c>
      <c r="G431" s="13">
        <f>67.2+101.2</f>
        <v>168.4</v>
      </c>
      <c r="H431" s="13"/>
      <c r="I431" s="13"/>
      <c r="J431" s="13">
        <v>89.4</v>
      </c>
      <c r="K431" s="13"/>
    </row>
    <row r="432" spans="1:11" s="5" customFormat="1" ht="15.75" customHeight="1">
      <c r="A432" s="13">
        <f t="shared" si="17"/>
        <v>428</v>
      </c>
      <c r="B432" s="31" t="s">
        <v>41</v>
      </c>
      <c r="C432" s="15">
        <v>38</v>
      </c>
      <c r="D432" s="18">
        <f t="shared" si="16"/>
        <v>1511.6</v>
      </c>
      <c r="E432" s="13">
        <v>1248.7</v>
      </c>
      <c r="F432" s="13">
        <v>785.6</v>
      </c>
      <c r="G432" s="13">
        <v>262.9</v>
      </c>
      <c r="H432" s="13"/>
      <c r="I432" s="13"/>
      <c r="J432" s="13">
        <v>0</v>
      </c>
      <c r="K432" s="13"/>
    </row>
    <row r="433" spans="1:11" s="5" customFormat="1" ht="15.75" customHeight="1">
      <c r="A433" s="13">
        <f t="shared" si="17"/>
        <v>429</v>
      </c>
      <c r="B433" s="31" t="s">
        <v>41</v>
      </c>
      <c r="C433" s="15">
        <v>39</v>
      </c>
      <c r="D433" s="18">
        <f t="shared" si="16"/>
        <v>1513.1</v>
      </c>
      <c r="E433" s="13">
        <f>1513.1-49.3-72.4</f>
        <v>1391.3999999999999</v>
      </c>
      <c r="F433" s="13">
        <f>972.2-28.7-51.6</f>
        <v>891.9</v>
      </c>
      <c r="G433" s="13">
        <f>49.3+72.4</f>
        <v>121.7</v>
      </c>
      <c r="H433" s="13"/>
      <c r="I433" s="13"/>
      <c r="J433" s="13">
        <v>0</v>
      </c>
      <c r="K433" s="13"/>
    </row>
    <row r="434" spans="1:11" s="5" customFormat="1" ht="15.75" customHeight="1">
      <c r="A434" s="13">
        <f t="shared" si="17"/>
        <v>430</v>
      </c>
      <c r="B434" s="31" t="s">
        <v>41</v>
      </c>
      <c r="C434" s="15" t="s">
        <v>137</v>
      </c>
      <c r="D434" s="18">
        <f t="shared" si="16"/>
        <v>2809.47</v>
      </c>
      <c r="E434" s="13">
        <v>2760.6</v>
      </c>
      <c r="F434" s="13">
        <v>1864.5</v>
      </c>
      <c r="G434" s="13"/>
      <c r="H434" s="13"/>
      <c r="I434" s="13"/>
      <c r="J434" s="13">
        <v>48.87</v>
      </c>
      <c r="K434" s="13"/>
    </row>
    <row r="435" spans="1:11" s="5" customFormat="1" ht="15.75" customHeight="1">
      <c r="A435" s="13">
        <f t="shared" si="17"/>
        <v>431</v>
      </c>
      <c r="B435" s="31" t="s">
        <v>41</v>
      </c>
      <c r="C435" s="15" t="s">
        <v>138</v>
      </c>
      <c r="D435" s="18">
        <f t="shared" si="16"/>
        <v>2749.7</v>
      </c>
      <c r="E435" s="13">
        <v>2749.7</v>
      </c>
      <c r="F435" s="13">
        <v>1593.9</v>
      </c>
      <c r="G435" s="13"/>
      <c r="H435" s="13"/>
      <c r="I435" s="13"/>
      <c r="J435" s="13">
        <v>0</v>
      </c>
      <c r="K435" s="13"/>
    </row>
    <row r="436" spans="1:11" s="5" customFormat="1" ht="15.75" customHeight="1">
      <c r="A436" s="13">
        <f t="shared" si="17"/>
        <v>432</v>
      </c>
      <c r="B436" s="30" t="s">
        <v>139</v>
      </c>
      <c r="C436" s="26">
        <v>3</v>
      </c>
      <c r="D436" s="18">
        <f t="shared" si="16"/>
        <v>1083.9</v>
      </c>
      <c r="E436" s="26">
        <v>676.7</v>
      </c>
      <c r="F436" s="26">
        <v>447.5</v>
      </c>
      <c r="G436" s="26">
        <v>275</v>
      </c>
      <c r="H436" s="26"/>
      <c r="I436" s="26"/>
      <c r="J436" s="26">
        <v>132.2</v>
      </c>
      <c r="K436" s="26"/>
    </row>
    <row r="437" spans="1:11" s="5" customFormat="1" ht="15.75" customHeight="1">
      <c r="A437" s="13">
        <f t="shared" si="17"/>
        <v>433</v>
      </c>
      <c r="B437" s="30" t="s">
        <v>139</v>
      </c>
      <c r="C437" s="26">
        <v>4</v>
      </c>
      <c r="D437" s="18">
        <f aca="true" t="shared" si="18" ref="D437:D446">E437+G437+J437+K437</f>
        <v>7276.899999999999</v>
      </c>
      <c r="E437" s="26">
        <f>5563.9+17.9+28.7</f>
        <v>5610.499999999999</v>
      </c>
      <c r="F437" s="26">
        <v>3253</v>
      </c>
      <c r="G437" s="26">
        <f>221.3-28.7-17.9</f>
        <v>174.70000000000002</v>
      </c>
      <c r="H437" s="26"/>
      <c r="I437" s="26"/>
      <c r="J437" s="26">
        <v>1491.7</v>
      </c>
      <c r="K437" s="26"/>
    </row>
    <row r="438" spans="1:11" s="5" customFormat="1" ht="15.75" customHeight="1">
      <c r="A438" s="13">
        <f t="shared" si="17"/>
        <v>434</v>
      </c>
      <c r="B438" s="30" t="s">
        <v>139</v>
      </c>
      <c r="C438" s="26">
        <v>8</v>
      </c>
      <c r="D438" s="18">
        <f t="shared" si="18"/>
        <v>574.3</v>
      </c>
      <c r="E438" s="26">
        <v>520.4</v>
      </c>
      <c r="F438" s="26">
        <v>353.2</v>
      </c>
      <c r="G438" s="26"/>
      <c r="H438" s="26"/>
      <c r="I438" s="26"/>
      <c r="J438" s="26">
        <v>53.9</v>
      </c>
      <c r="K438" s="26"/>
    </row>
    <row r="439" spans="1:11" s="5" customFormat="1" ht="15.75" customHeight="1">
      <c r="A439" s="13">
        <f t="shared" si="17"/>
        <v>435</v>
      </c>
      <c r="B439" s="30" t="s">
        <v>139</v>
      </c>
      <c r="C439" s="26">
        <v>10</v>
      </c>
      <c r="D439" s="18">
        <f t="shared" si="18"/>
        <v>2550.6</v>
      </c>
      <c r="E439" s="26">
        <v>1760.9</v>
      </c>
      <c r="F439" s="26">
        <v>1228.5</v>
      </c>
      <c r="G439" s="26">
        <v>177.8</v>
      </c>
      <c r="H439" s="26"/>
      <c r="I439" s="26"/>
      <c r="J439" s="26">
        <v>611.9</v>
      </c>
      <c r="K439" s="26"/>
    </row>
    <row r="440" spans="1:11" s="5" customFormat="1" ht="15.75" customHeight="1">
      <c r="A440" s="13">
        <f t="shared" si="17"/>
        <v>436</v>
      </c>
      <c r="B440" s="30" t="s">
        <v>139</v>
      </c>
      <c r="C440" s="26">
        <v>16</v>
      </c>
      <c r="D440" s="18">
        <f t="shared" si="18"/>
        <v>1954.2</v>
      </c>
      <c r="E440" s="26">
        <v>1819.7</v>
      </c>
      <c r="F440" s="26">
        <v>1198.9</v>
      </c>
      <c r="G440" s="26">
        <v>134.5</v>
      </c>
      <c r="H440" s="26"/>
      <c r="I440" s="26"/>
      <c r="J440" s="26"/>
      <c r="K440" s="26"/>
    </row>
    <row r="441" spans="1:11" s="5" customFormat="1" ht="15.75" customHeight="1">
      <c r="A441" s="13">
        <f t="shared" si="17"/>
        <v>437</v>
      </c>
      <c r="B441" s="30" t="s">
        <v>139</v>
      </c>
      <c r="C441" s="26">
        <v>32</v>
      </c>
      <c r="D441" s="18">
        <f t="shared" si="18"/>
        <v>1926.2</v>
      </c>
      <c r="E441" s="26">
        <v>1860.2</v>
      </c>
      <c r="F441" s="26">
        <v>1034.1</v>
      </c>
      <c r="G441" s="26"/>
      <c r="H441" s="26"/>
      <c r="I441" s="26"/>
      <c r="J441" s="26">
        <v>66</v>
      </c>
      <c r="K441" s="26"/>
    </row>
    <row r="442" spans="1:11" s="5" customFormat="1" ht="15.75" customHeight="1">
      <c r="A442" s="13">
        <f t="shared" si="17"/>
        <v>438</v>
      </c>
      <c r="B442" s="30" t="s">
        <v>139</v>
      </c>
      <c r="C442" s="26">
        <v>38</v>
      </c>
      <c r="D442" s="18">
        <f t="shared" si="18"/>
        <v>6752</v>
      </c>
      <c r="E442" s="26">
        <v>6189.2</v>
      </c>
      <c r="F442" s="26">
        <v>3702.3</v>
      </c>
      <c r="G442" s="26">
        <v>405.7</v>
      </c>
      <c r="H442" s="26"/>
      <c r="I442" s="26"/>
      <c r="J442" s="26">
        <v>157.1</v>
      </c>
      <c r="K442" s="26"/>
    </row>
    <row r="443" spans="1:11" s="5" customFormat="1" ht="15.75" customHeight="1">
      <c r="A443" s="13">
        <f t="shared" si="17"/>
        <v>439</v>
      </c>
      <c r="B443" s="30" t="s">
        <v>139</v>
      </c>
      <c r="C443" s="26">
        <v>39</v>
      </c>
      <c r="D443" s="18">
        <f t="shared" si="18"/>
        <v>7286.900000000001</v>
      </c>
      <c r="E443" s="26">
        <v>6923.3</v>
      </c>
      <c r="F443" s="26">
        <v>3610.9</v>
      </c>
      <c r="G443" s="26">
        <v>291.3</v>
      </c>
      <c r="H443" s="26"/>
      <c r="I443" s="26"/>
      <c r="J443" s="26">
        <v>72.3</v>
      </c>
      <c r="K443" s="26"/>
    </row>
    <row r="444" spans="1:11" s="5" customFormat="1" ht="15.75" customHeight="1">
      <c r="A444" s="13">
        <f t="shared" si="17"/>
        <v>440</v>
      </c>
      <c r="B444" s="30" t="s">
        <v>139</v>
      </c>
      <c r="C444" s="26">
        <v>40</v>
      </c>
      <c r="D444" s="18">
        <f t="shared" si="18"/>
        <v>695.4</v>
      </c>
      <c r="E444" s="26">
        <v>695.4</v>
      </c>
      <c r="F444" s="26">
        <v>414.3</v>
      </c>
      <c r="G444" s="26"/>
      <c r="H444" s="26"/>
      <c r="I444" s="26"/>
      <c r="J444" s="26"/>
      <c r="K444" s="26"/>
    </row>
    <row r="445" spans="1:11" s="5" customFormat="1" ht="15.75" customHeight="1">
      <c r="A445" s="13">
        <f t="shared" si="17"/>
        <v>441</v>
      </c>
      <c r="B445" s="30" t="s">
        <v>139</v>
      </c>
      <c r="C445" s="26">
        <v>41</v>
      </c>
      <c r="D445" s="18">
        <f t="shared" si="18"/>
        <v>668</v>
      </c>
      <c r="E445" s="26">
        <v>622.1</v>
      </c>
      <c r="F445" s="26">
        <v>413.9</v>
      </c>
      <c r="G445" s="26"/>
      <c r="H445" s="26"/>
      <c r="I445" s="26"/>
      <c r="J445" s="26">
        <v>45.9</v>
      </c>
      <c r="K445" s="26"/>
    </row>
    <row r="446" spans="1:11" s="5" customFormat="1" ht="15.75" customHeight="1">
      <c r="A446" s="13">
        <f t="shared" si="17"/>
        <v>442</v>
      </c>
      <c r="B446" s="30" t="s">
        <v>139</v>
      </c>
      <c r="C446" s="26" t="s">
        <v>123</v>
      </c>
      <c r="D446" s="18">
        <f t="shared" si="18"/>
        <v>1022.0999999999999</v>
      </c>
      <c r="E446" s="26">
        <v>637.3</v>
      </c>
      <c r="F446" s="26">
        <v>423.2</v>
      </c>
      <c r="G446" s="26">
        <v>316</v>
      </c>
      <c r="H446" s="26"/>
      <c r="I446" s="26"/>
      <c r="J446" s="26">
        <v>68.8</v>
      </c>
      <c r="K446" s="26"/>
    </row>
    <row r="447" spans="1:11" s="5" customFormat="1" ht="15.75" customHeight="1">
      <c r="A447" s="13">
        <f t="shared" si="17"/>
        <v>443</v>
      </c>
      <c r="B447" s="25" t="s">
        <v>140</v>
      </c>
      <c r="C447" s="15" t="s">
        <v>141</v>
      </c>
      <c r="D447" s="16">
        <f>SUM(E447+G447+J447+K447)</f>
        <v>2701</v>
      </c>
      <c r="E447" s="18">
        <f>2654.5+0.9+0.9</f>
        <v>2656.3</v>
      </c>
      <c r="F447" s="13">
        <v>1801.4</v>
      </c>
      <c r="G447" s="18"/>
      <c r="H447" s="13"/>
      <c r="I447" s="13"/>
      <c r="J447" s="18">
        <v>44.7</v>
      </c>
      <c r="K447" s="18"/>
    </row>
    <row r="448" spans="1:11" s="5" customFormat="1" ht="15.75" customHeight="1">
      <c r="A448" s="13">
        <f t="shared" si="17"/>
        <v>444</v>
      </c>
      <c r="B448" s="25" t="s">
        <v>6</v>
      </c>
      <c r="C448" s="15" t="s">
        <v>142</v>
      </c>
      <c r="D448" s="16">
        <f>SUM(E448+G448+J448+K448)</f>
        <v>6279.5</v>
      </c>
      <c r="E448" s="18">
        <f>6112.4-4-0.2-0.5</f>
        <v>6107.7</v>
      </c>
      <c r="F448" s="13">
        <v>3754.1</v>
      </c>
      <c r="G448" s="18"/>
      <c r="H448" s="13"/>
      <c r="I448" s="13"/>
      <c r="J448" s="18">
        <v>171.8</v>
      </c>
      <c r="K448" s="18"/>
    </row>
    <row r="449" spans="1:11" s="5" customFormat="1" ht="15.75" customHeight="1">
      <c r="A449" s="13">
        <f t="shared" si="17"/>
        <v>445</v>
      </c>
      <c r="B449" s="25" t="s">
        <v>143</v>
      </c>
      <c r="C449" s="15">
        <v>9</v>
      </c>
      <c r="D449" s="16">
        <f>SUM(E449+G449+J449+K449)</f>
        <v>3638.8</v>
      </c>
      <c r="E449" s="18">
        <v>3597</v>
      </c>
      <c r="F449" s="13">
        <v>2399.1</v>
      </c>
      <c r="G449" s="18"/>
      <c r="H449" s="13"/>
      <c r="I449" s="13"/>
      <c r="J449" s="18">
        <v>41.8</v>
      </c>
      <c r="K449" s="18"/>
    </row>
    <row r="450" spans="1:11" ht="15.75" customHeight="1">
      <c r="A450" s="13">
        <f t="shared" si="17"/>
        <v>446</v>
      </c>
      <c r="B450" s="34" t="s">
        <v>144</v>
      </c>
      <c r="C450" s="35">
        <v>6</v>
      </c>
      <c r="D450" s="36">
        <f aca="true" t="shared" si="19" ref="D450:D513">E450+G450+H450</f>
        <v>6473.2</v>
      </c>
      <c r="E450" s="35">
        <f>4824.4+337.5</f>
        <v>5161.9</v>
      </c>
      <c r="F450" s="35">
        <f>3309.7+174.9</f>
        <v>3484.6</v>
      </c>
      <c r="G450" s="35">
        <f>431.6+42.2</f>
        <v>473.8</v>
      </c>
      <c r="H450" s="35">
        <f>1305.4-467.9</f>
        <v>837.5000000000001</v>
      </c>
      <c r="I450" s="35">
        <v>6</v>
      </c>
      <c r="J450" s="35"/>
      <c r="K450" s="35"/>
    </row>
    <row r="451" spans="1:11" ht="15.75" customHeight="1">
      <c r="A451" s="13">
        <f t="shared" si="17"/>
        <v>447</v>
      </c>
      <c r="B451" s="34" t="s">
        <v>144</v>
      </c>
      <c r="C451" s="37">
        <v>82</v>
      </c>
      <c r="D451" s="36">
        <f t="shared" si="19"/>
        <v>4435.7</v>
      </c>
      <c r="E451" s="36">
        <v>4394.7</v>
      </c>
      <c r="F451" s="36">
        <v>3023.7</v>
      </c>
      <c r="G451" s="36">
        <v>0</v>
      </c>
      <c r="H451" s="36">
        <v>41</v>
      </c>
      <c r="I451" s="36"/>
      <c r="J451" s="36"/>
      <c r="K451" s="36"/>
    </row>
    <row r="452" spans="1:11" ht="15.75" customHeight="1">
      <c r="A452" s="13">
        <f t="shared" si="17"/>
        <v>448</v>
      </c>
      <c r="B452" s="34" t="s">
        <v>145</v>
      </c>
      <c r="C452" s="37">
        <v>66</v>
      </c>
      <c r="D452" s="36">
        <f t="shared" si="19"/>
        <v>5739.4</v>
      </c>
      <c r="E452" s="36">
        <v>5696</v>
      </c>
      <c r="F452" s="36">
        <v>3928.4</v>
      </c>
      <c r="G452" s="36">
        <v>0</v>
      </c>
      <c r="H452" s="36">
        <v>43.4</v>
      </c>
      <c r="I452" s="36"/>
      <c r="J452" s="36"/>
      <c r="K452" s="36"/>
    </row>
    <row r="453" spans="1:11" ht="15.75" customHeight="1">
      <c r="A453" s="13">
        <f t="shared" si="17"/>
        <v>449</v>
      </c>
      <c r="B453" s="34" t="s">
        <v>145</v>
      </c>
      <c r="C453" s="37">
        <v>71</v>
      </c>
      <c r="D453" s="36">
        <f t="shared" si="19"/>
        <v>5761.7</v>
      </c>
      <c r="E453" s="36">
        <v>5718.2</v>
      </c>
      <c r="F453" s="36">
        <v>3931.4</v>
      </c>
      <c r="G453" s="36">
        <v>0</v>
      </c>
      <c r="H453" s="36">
        <v>43.5</v>
      </c>
      <c r="I453" s="36"/>
      <c r="J453" s="36"/>
      <c r="K453" s="36"/>
    </row>
    <row r="454" spans="1:11" ht="15.75" customHeight="1">
      <c r="A454" s="13">
        <f aca="true" t="shared" si="20" ref="A454:A517">A453+1</f>
        <v>450</v>
      </c>
      <c r="B454" s="34" t="s">
        <v>145</v>
      </c>
      <c r="C454" s="37" t="s">
        <v>146</v>
      </c>
      <c r="D454" s="36">
        <f t="shared" si="19"/>
        <v>5822.200000000001</v>
      </c>
      <c r="E454" s="36">
        <v>5782.1</v>
      </c>
      <c r="F454" s="36">
        <v>3976</v>
      </c>
      <c r="G454" s="36">
        <v>0</v>
      </c>
      <c r="H454" s="36">
        <v>40.1</v>
      </c>
      <c r="I454" s="36"/>
      <c r="J454" s="36">
        <v>16</v>
      </c>
      <c r="K454" s="36"/>
    </row>
    <row r="455" spans="1:11" ht="15.75" customHeight="1">
      <c r="A455" s="13">
        <f t="shared" si="20"/>
        <v>451</v>
      </c>
      <c r="B455" s="34" t="s">
        <v>147</v>
      </c>
      <c r="C455" s="37">
        <v>4</v>
      </c>
      <c r="D455" s="36">
        <f t="shared" si="19"/>
        <v>8804.4</v>
      </c>
      <c r="E455" s="36">
        <f>8648.2-61.4</f>
        <v>8586.800000000001</v>
      </c>
      <c r="F455" s="36">
        <f>5314.5-38.8</f>
        <v>5275.7</v>
      </c>
      <c r="G455" s="36">
        <f>5.4+61.4</f>
        <v>66.8</v>
      </c>
      <c r="H455" s="36">
        <v>150.8</v>
      </c>
      <c r="I455" s="36">
        <v>5.4</v>
      </c>
      <c r="J455" s="36"/>
      <c r="K455" s="36"/>
    </row>
    <row r="456" spans="1:11" ht="15.75" customHeight="1">
      <c r="A456" s="13">
        <f t="shared" si="20"/>
        <v>452</v>
      </c>
      <c r="B456" s="34" t="s">
        <v>147</v>
      </c>
      <c r="C456" s="37" t="s">
        <v>148</v>
      </c>
      <c r="D456" s="36">
        <f t="shared" si="19"/>
        <v>5391.7</v>
      </c>
      <c r="E456" s="36">
        <v>5324.9</v>
      </c>
      <c r="F456" s="36">
        <v>2756.4</v>
      </c>
      <c r="G456" s="36">
        <v>0</v>
      </c>
      <c r="H456" s="36">
        <v>66.8</v>
      </c>
      <c r="I456" s="36"/>
      <c r="J456" s="36"/>
      <c r="K456" s="36"/>
    </row>
    <row r="457" spans="1:11" ht="15.75" customHeight="1">
      <c r="A457" s="13">
        <f t="shared" si="20"/>
        <v>453</v>
      </c>
      <c r="B457" s="38" t="s">
        <v>149</v>
      </c>
      <c r="C457" s="35">
        <v>25</v>
      </c>
      <c r="D457" s="36">
        <f t="shared" si="19"/>
        <v>920.3</v>
      </c>
      <c r="E457" s="35">
        <v>821.4</v>
      </c>
      <c r="F457" s="35">
        <v>620.2</v>
      </c>
      <c r="G457" s="35"/>
      <c r="H457" s="35">
        <v>98.9</v>
      </c>
      <c r="I457" s="35"/>
      <c r="J457" s="35"/>
      <c r="K457" s="35"/>
    </row>
    <row r="458" spans="1:11" ht="15.75" customHeight="1">
      <c r="A458" s="13">
        <f t="shared" si="20"/>
        <v>454</v>
      </c>
      <c r="B458" s="34" t="s">
        <v>150</v>
      </c>
      <c r="C458" s="37">
        <v>39</v>
      </c>
      <c r="D458" s="36">
        <f t="shared" si="19"/>
        <v>8013.7</v>
      </c>
      <c r="E458" s="36">
        <v>7900.7</v>
      </c>
      <c r="F458" s="36">
        <v>4866.3</v>
      </c>
      <c r="G458" s="36">
        <v>16.9</v>
      </c>
      <c r="H458" s="36">
        <v>96.1</v>
      </c>
      <c r="I458" s="36">
        <v>16</v>
      </c>
      <c r="J458" s="36"/>
      <c r="K458" s="36"/>
    </row>
    <row r="459" spans="1:11" ht="15.75" customHeight="1">
      <c r="A459" s="13">
        <f t="shared" si="20"/>
        <v>455</v>
      </c>
      <c r="B459" s="34" t="s">
        <v>150</v>
      </c>
      <c r="C459" s="37">
        <v>43</v>
      </c>
      <c r="D459" s="36">
        <f t="shared" si="19"/>
        <v>20171</v>
      </c>
      <c r="E459" s="36">
        <v>19816</v>
      </c>
      <c r="F459" s="36">
        <v>12180.7</v>
      </c>
      <c r="G459" s="36">
        <v>136.1</v>
      </c>
      <c r="H459" s="36">
        <v>218.9</v>
      </c>
      <c r="I459" s="36">
        <f>17.2+16.8</f>
        <v>34</v>
      </c>
      <c r="J459" s="36"/>
      <c r="K459" s="36"/>
    </row>
    <row r="460" spans="1:11" ht="15.75" customHeight="1">
      <c r="A460" s="13">
        <f t="shared" si="20"/>
        <v>456</v>
      </c>
      <c r="B460" s="34" t="s">
        <v>150</v>
      </c>
      <c r="C460" s="37">
        <v>47</v>
      </c>
      <c r="D460" s="36">
        <f t="shared" si="19"/>
        <v>22122.1</v>
      </c>
      <c r="E460" s="36">
        <v>21831.1</v>
      </c>
      <c r="F460" s="36">
        <v>13335.2</v>
      </c>
      <c r="G460" s="36">
        <v>102</v>
      </c>
      <c r="H460" s="36">
        <v>189</v>
      </c>
      <c r="I460" s="36">
        <f>51.1+51</f>
        <v>102.1</v>
      </c>
      <c r="J460" s="36"/>
      <c r="K460" s="36"/>
    </row>
    <row r="461" spans="1:11" ht="15.75" customHeight="1">
      <c r="A461" s="13">
        <f t="shared" si="20"/>
        <v>457</v>
      </c>
      <c r="B461" s="34" t="s">
        <v>150</v>
      </c>
      <c r="C461" s="37" t="s">
        <v>151</v>
      </c>
      <c r="D461" s="36">
        <f t="shared" si="19"/>
        <v>8117.2</v>
      </c>
      <c r="E461" s="36">
        <v>7961.9</v>
      </c>
      <c r="F461" s="36">
        <v>4881.7</v>
      </c>
      <c r="G461" s="36">
        <v>47</v>
      </c>
      <c r="H461" s="36">
        <v>108.3</v>
      </c>
      <c r="I461" s="36">
        <v>17.5</v>
      </c>
      <c r="J461" s="36"/>
      <c r="K461" s="36"/>
    </row>
    <row r="462" spans="1:11" ht="15.75" customHeight="1">
      <c r="A462" s="13">
        <f t="shared" si="20"/>
        <v>458</v>
      </c>
      <c r="B462" s="34" t="s">
        <v>150</v>
      </c>
      <c r="C462" s="37" t="s">
        <v>152</v>
      </c>
      <c r="D462" s="36">
        <f t="shared" si="19"/>
        <v>3200.5</v>
      </c>
      <c r="E462" s="36">
        <v>3128.8</v>
      </c>
      <c r="F462" s="36">
        <v>1630.7</v>
      </c>
      <c r="G462" s="36">
        <v>0</v>
      </c>
      <c r="H462" s="36">
        <v>71.7</v>
      </c>
      <c r="I462" s="36"/>
      <c r="J462" s="36"/>
      <c r="K462" s="36"/>
    </row>
    <row r="463" spans="1:11" ht="15.75" customHeight="1">
      <c r="A463" s="13">
        <f t="shared" si="20"/>
        <v>459</v>
      </c>
      <c r="B463" s="34" t="s">
        <v>153</v>
      </c>
      <c r="C463" s="37">
        <v>2</v>
      </c>
      <c r="D463" s="36">
        <f t="shared" si="19"/>
        <v>24360.399999999998</v>
      </c>
      <c r="E463" s="36">
        <f>23973.1-17.2</f>
        <v>23955.899999999998</v>
      </c>
      <c r="F463" s="36">
        <f>14603-29.4</f>
        <v>14573.6</v>
      </c>
      <c r="G463" s="36">
        <f>51.5+5.7+17.2</f>
        <v>74.4</v>
      </c>
      <c r="H463" s="36">
        <v>330.1</v>
      </c>
      <c r="I463" s="36"/>
      <c r="J463" s="36"/>
      <c r="K463" s="36"/>
    </row>
    <row r="464" spans="1:11" ht="15.75" customHeight="1">
      <c r="A464" s="13">
        <f t="shared" si="20"/>
        <v>460</v>
      </c>
      <c r="B464" s="34" t="s">
        <v>153</v>
      </c>
      <c r="C464" s="37">
        <v>19</v>
      </c>
      <c r="D464" s="36">
        <f t="shared" si="19"/>
        <v>26609</v>
      </c>
      <c r="E464" s="36">
        <f>26186.4-51-53.7</f>
        <v>26081.7</v>
      </c>
      <c r="F464" s="36">
        <f>16030.3-29.6-30.3</f>
        <v>15970.4</v>
      </c>
      <c r="G464" s="36">
        <f>30.9+51+53.7</f>
        <v>135.60000000000002</v>
      </c>
      <c r="H464" s="36">
        <v>391.7</v>
      </c>
      <c r="I464" s="36">
        <f>17.2</f>
        <v>17.2</v>
      </c>
      <c r="J464" s="36">
        <v>17</v>
      </c>
      <c r="K464" s="36"/>
    </row>
    <row r="465" spans="1:11" ht="15.75" customHeight="1">
      <c r="A465" s="13">
        <f t="shared" si="20"/>
        <v>461</v>
      </c>
      <c r="B465" s="34" t="s">
        <v>153</v>
      </c>
      <c r="C465" s="37">
        <v>23</v>
      </c>
      <c r="D465" s="36">
        <f t="shared" si="19"/>
        <v>8730.5</v>
      </c>
      <c r="E465" s="36">
        <v>8622.7</v>
      </c>
      <c r="F465" s="36">
        <v>5209</v>
      </c>
      <c r="G465" s="36">
        <v>0</v>
      </c>
      <c r="H465" s="36">
        <v>107.8</v>
      </c>
      <c r="I465" s="36"/>
      <c r="J465" s="36"/>
      <c r="K465" s="36"/>
    </row>
    <row r="466" spans="1:11" ht="15.75" customHeight="1">
      <c r="A466" s="13">
        <f t="shared" si="20"/>
        <v>462</v>
      </c>
      <c r="B466" s="34" t="s">
        <v>153</v>
      </c>
      <c r="C466" s="37">
        <v>25</v>
      </c>
      <c r="D466" s="36">
        <f t="shared" si="19"/>
        <v>22723.4</v>
      </c>
      <c r="E466" s="36">
        <v>22431.4</v>
      </c>
      <c r="F466" s="36">
        <v>13778.3</v>
      </c>
      <c r="G466" s="36">
        <v>17.1</v>
      </c>
      <c r="H466" s="36">
        <v>274.9</v>
      </c>
      <c r="I466" s="36">
        <f>16.9+16.9+16.9</f>
        <v>50.699999999999996</v>
      </c>
      <c r="J466" s="36"/>
      <c r="K466" s="36"/>
    </row>
    <row r="467" spans="1:11" ht="15.75" customHeight="1">
      <c r="A467" s="13">
        <f t="shared" si="20"/>
        <v>463</v>
      </c>
      <c r="B467" s="34" t="s">
        <v>153</v>
      </c>
      <c r="C467" s="37">
        <v>26</v>
      </c>
      <c r="D467" s="36">
        <f t="shared" si="19"/>
        <v>9033.900000000001</v>
      </c>
      <c r="E467" s="36">
        <v>8903.2</v>
      </c>
      <c r="F467" s="36">
        <v>4606.4</v>
      </c>
      <c r="G467" s="36">
        <v>16.5</v>
      </c>
      <c r="H467" s="36">
        <v>114.2</v>
      </c>
      <c r="I467" s="36">
        <f>16.3</f>
        <v>16.3</v>
      </c>
      <c r="J467" s="36"/>
      <c r="K467" s="36"/>
    </row>
    <row r="468" spans="1:11" ht="15.75" customHeight="1">
      <c r="A468" s="13">
        <f t="shared" si="20"/>
        <v>464</v>
      </c>
      <c r="B468" s="34" t="s">
        <v>153</v>
      </c>
      <c r="C468" s="37">
        <v>32</v>
      </c>
      <c r="D468" s="36">
        <f t="shared" si="19"/>
        <v>14567.099999999999</v>
      </c>
      <c r="E468" s="36">
        <f>14346.8-53.7</f>
        <v>14293.099999999999</v>
      </c>
      <c r="F468" s="36">
        <f>7418.8-31.2</f>
        <v>7387.6</v>
      </c>
      <c r="G468" s="36">
        <f>16.8+50.8</f>
        <v>67.6</v>
      </c>
      <c r="H468" s="36">
        <v>206.4</v>
      </c>
      <c r="I468" s="36"/>
      <c r="J468" s="36"/>
      <c r="K468" s="36"/>
    </row>
    <row r="469" spans="1:11" ht="15.75" customHeight="1">
      <c r="A469" s="13">
        <f t="shared" si="20"/>
        <v>465</v>
      </c>
      <c r="B469" s="34" t="s">
        <v>153</v>
      </c>
      <c r="C469" s="37" t="s">
        <v>154</v>
      </c>
      <c r="D469" s="36">
        <f t="shared" si="19"/>
        <v>3241.6000000000004</v>
      </c>
      <c r="E469" s="36">
        <f>3169.3-71.8+71.8</f>
        <v>3169.3</v>
      </c>
      <c r="F469" s="36">
        <v>1649.8</v>
      </c>
      <c r="G469" s="36">
        <v>0</v>
      </c>
      <c r="H469" s="36">
        <f>72.3+71.8-71.8</f>
        <v>72.3</v>
      </c>
      <c r="I469" s="36"/>
      <c r="J469" s="36"/>
      <c r="K469" s="36"/>
    </row>
    <row r="470" spans="1:11" ht="15.75" customHeight="1">
      <c r="A470" s="13">
        <f t="shared" si="20"/>
        <v>466</v>
      </c>
      <c r="B470" s="34" t="s">
        <v>155</v>
      </c>
      <c r="C470" s="37">
        <v>8</v>
      </c>
      <c r="D470" s="36">
        <f t="shared" si="19"/>
        <v>9451.1</v>
      </c>
      <c r="E470" s="36">
        <f>8807.4-40.1</f>
        <v>8767.3</v>
      </c>
      <c r="F470" s="36">
        <f>4597.1-18.7</f>
        <v>4578.400000000001</v>
      </c>
      <c r="G470" s="36">
        <f>521+40.1</f>
        <v>561.1</v>
      </c>
      <c r="H470" s="36">
        <v>122.7</v>
      </c>
      <c r="I470" s="36">
        <f>255.3+265.7</f>
        <v>521</v>
      </c>
      <c r="J470" s="36"/>
      <c r="K470" s="36"/>
    </row>
    <row r="471" spans="1:11" ht="15.75" customHeight="1">
      <c r="A471" s="13">
        <f t="shared" si="20"/>
        <v>467</v>
      </c>
      <c r="B471" s="34" t="s">
        <v>155</v>
      </c>
      <c r="C471" s="37">
        <v>12</v>
      </c>
      <c r="D471" s="36">
        <f t="shared" si="19"/>
        <v>12980.699999999999</v>
      </c>
      <c r="E471" s="36">
        <v>12767.9</v>
      </c>
      <c r="F471" s="36">
        <v>6611</v>
      </c>
      <c r="G471" s="36">
        <v>0</v>
      </c>
      <c r="H471" s="36">
        <v>212.8</v>
      </c>
      <c r="I471" s="36"/>
      <c r="J471" s="36"/>
      <c r="K471" s="36"/>
    </row>
    <row r="472" spans="1:11" ht="15.75" customHeight="1">
      <c r="A472" s="13">
        <f t="shared" si="20"/>
        <v>468</v>
      </c>
      <c r="B472" s="34" t="s">
        <v>155</v>
      </c>
      <c r="C472" s="37">
        <v>13</v>
      </c>
      <c r="D472" s="36">
        <f t="shared" si="19"/>
        <v>13298.5</v>
      </c>
      <c r="E472" s="36">
        <v>13099.2</v>
      </c>
      <c r="F472" s="36">
        <v>8114.3</v>
      </c>
      <c r="G472" s="36">
        <v>0</v>
      </c>
      <c r="H472" s="36">
        <v>199.3</v>
      </c>
      <c r="I472" s="36"/>
      <c r="J472" s="36"/>
      <c r="K472" s="36"/>
    </row>
    <row r="473" spans="1:11" ht="15.75" customHeight="1">
      <c r="A473" s="13">
        <f t="shared" si="20"/>
        <v>469</v>
      </c>
      <c r="B473" s="34" t="s">
        <v>155</v>
      </c>
      <c r="C473" s="37">
        <v>19</v>
      </c>
      <c r="D473" s="36">
        <f t="shared" si="19"/>
        <v>8237.300000000001</v>
      </c>
      <c r="E473" s="36">
        <f>8119.6-2</f>
        <v>8117.6</v>
      </c>
      <c r="F473" s="36">
        <v>5009.9</v>
      </c>
      <c r="G473" s="36">
        <v>0</v>
      </c>
      <c r="H473" s="36">
        <v>119.7</v>
      </c>
      <c r="I473" s="36"/>
      <c r="J473" s="36"/>
      <c r="K473" s="36"/>
    </row>
    <row r="474" spans="1:11" ht="15.75" customHeight="1">
      <c r="A474" s="13">
        <f t="shared" si="20"/>
        <v>470</v>
      </c>
      <c r="B474" s="34" t="s">
        <v>155</v>
      </c>
      <c r="C474" s="37" t="s">
        <v>156</v>
      </c>
      <c r="D474" s="36">
        <f t="shared" si="19"/>
        <v>9068.1</v>
      </c>
      <c r="E474" s="36">
        <v>8921.1</v>
      </c>
      <c r="F474" s="36">
        <v>4624.6</v>
      </c>
      <c r="G474" s="36">
        <v>16.9</v>
      </c>
      <c r="H474" s="36">
        <v>130.1</v>
      </c>
      <c r="I474" s="36">
        <f>16.8</f>
        <v>16.8</v>
      </c>
      <c r="J474" s="36"/>
      <c r="K474" s="36"/>
    </row>
    <row r="475" spans="1:11" ht="15.75" customHeight="1">
      <c r="A475" s="13">
        <f t="shared" si="20"/>
        <v>471</v>
      </c>
      <c r="B475" s="34" t="s">
        <v>155</v>
      </c>
      <c r="C475" s="37" t="s">
        <v>123</v>
      </c>
      <c r="D475" s="36">
        <f t="shared" si="19"/>
        <v>3306.3</v>
      </c>
      <c r="E475" s="36">
        <v>3264.5</v>
      </c>
      <c r="F475" s="36">
        <v>1910.1</v>
      </c>
      <c r="G475" s="36">
        <v>0</v>
      </c>
      <c r="H475" s="36">
        <v>41.8</v>
      </c>
      <c r="I475" s="36"/>
      <c r="J475" s="36"/>
      <c r="K475" s="36"/>
    </row>
    <row r="476" spans="1:11" ht="15.75" customHeight="1">
      <c r="A476" s="13">
        <f t="shared" si="20"/>
        <v>472</v>
      </c>
      <c r="B476" s="34" t="s">
        <v>157</v>
      </c>
      <c r="C476" s="37">
        <v>9</v>
      </c>
      <c r="D476" s="36">
        <f t="shared" si="19"/>
        <v>26386.399999999998</v>
      </c>
      <c r="E476" s="36">
        <f>25893.3-65-33.3-65.2-50.2-50.3</f>
        <v>25629.3</v>
      </c>
      <c r="F476" s="36">
        <f>15971.5-42.5-17.2-42.7-29.4-29.3</f>
        <v>15810.4</v>
      </c>
      <c r="G476" s="36">
        <f>34.4+67.1+32+76.6+57.5+66.7</f>
        <v>334.3</v>
      </c>
      <c r="H476" s="36">
        <v>422.8</v>
      </c>
      <c r="I476" s="36">
        <f>16.9+17+15.5+17.2+16.8</f>
        <v>83.39999999999999</v>
      </c>
      <c r="J476" s="36"/>
      <c r="K476" s="36"/>
    </row>
    <row r="477" spans="1:11" ht="15.75" customHeight="1">
      <c r="A477" s="13">
        <f t="shared" si="20"/>
        <v>473</v>
      </c>
      <c r="B477" s="34" t="s">
        <v>157</v>
      </c>
      <c r="C477" s="37">
        <v>13</v>
      </c>
      <c r="D477" s="36">
        <f t="shared" si="19"/>
        <v>7901.9</v>
      </c>
      <c r="E477" s="36">
        <v>7793.7</v>
      </c>
      <c r="F477" s="36">
        <v>4700.1</v>
      </c>
      <c r="G477" s="36">
        <v>0</v>
      </c>
      <c r="H477" s="36">
        <v>108.2</v>
      </c>
      <c r="I477" s="36"/>
      <c r="J477" s="36"/>
      <c r="K477" s="36"/>
    </row>
    <row r="478" spans="1:11" ht="15.75" customHeight="1">
      <c r="A478" s="13">
        <f t="shared" si="20"/>
        <v>474</v>
      </c>
      <c r="B478" s="34" t="s">
        <v>157</v>
      </c>
      <c r="C478" s="37">
        <v>15</v>
      </c>
      <c r="D478" s="36">
        <f t="shared" si="19"/>
        <v>22523.699999999997</v>
      </c>
      <c r="E478" s="36">
        <v>22256.1</v>
      </c>
      <c r="F478" s="36">
        <v>13659.6</v>
      </c>
      <c r="G478" s="36">
        <v>0</v>
      </c>
      <c r="H478" s="36">
        <v>267.6</v>
      </c>
      <c r="I478" s="36">
        <v>15.6</v>
      </c>
      <c r="J478" s="36">
        <v>17</v>
      </c>
      <c r="K478" s="36"/>
    </row>
    <row r="479" spans="1:11" ht="15.75" customHeight="1">
      <c r="A479" s="13">
        <f t="shared" si="20"/>
        <v>475</v>
      </c>
      <c r="B479" s="34" t="s">
        <v>157</v>
      </c>
      <c r="C479" s="37" t="s">
        <v>28</v>
      </c>
      <c r="D479" s="36">
        <f t="shared" si="19"/>
        <v>3297.2</v>
      </c>
      <c r="E479" s="36">
        <v>3215</v>
      </c>
      <c r="F479" s="36">
        <v>1889.2</v>
      </c>
      <c r="G479" s="36">
        <v>0</v>
      </c>
      <c r="H479" s="36">
        <v>82.2</v>
      </c>
      <c r="I479" s="36"/>
      <c r="J479" s="36"/>
      <c r="K479" s="36"/>
    </row>
    <row r="480" spans="1:11" ht="15.75" customHeight="1">
      <c r="A480" s="13">
        <f t="shared" si="20"/>
        <v>476</v>
      </c>
      <c r="B480" s="34" t="s">
        <v>158</v>
      </c>
      <c r="C480" s="37">
        <v>3</v>
      </c>
      <c r="D480" s="36">
        <f t="shared" si="19"/>
        <v>9789.7</v>
      </c>
      <c r="E480" s="36">
        <v>9601.1</v>
      </c>
      <c r="F480" s="36">
        <v>5860.2</v>
      </c>
      <c r="G480" s="36">
        <v>33.9</v>
      </c>
      <c r="H480" s="36">
        <v>154.7</v>
      </c>
      <c r="I480" s="36"/>
      <c r="J480" s="36">
        <v>17</v>
      </c>
      <c r="K480" s="36"/>
    </row>
    <row r="481" spans="1:11" ht="15.75" customHeight="1">
      <c r="A481" s="13">
        <f t="shared" si="20"/>
        <v>477</v>
      </c>
      <c r="B481" s="34" t="s">
        <v>158</v>
      </c>
      <c r="C481" s="37">
        <v>4</v>
      </c>
      <c r="D481" s="36">
        <f t="shared" si="19"/>
        <v>5894.900000000001</v>
      </c>
      <c r="E481" s="36">
        <v>5795.1</v>
      </c>
      <c r="F481" s="36">
        <v>3505.9</v>
      </c>
      <c r="G481" s="36">
        <v>0</v>
      </c>
      <c r="H481" s="36">
        <v>99.8</v>
      </c>
      <c r="I481" s="36"/>
      <c r="J481" s="36"/>
      <c r="K481" s="36"/>
    </row>
    <row r="482" spans="1:11" ht="15.75" customHeight="1">
      <c r="A482" s="13">
        <f t="shared" si="20"/>
        <v>478</v>
      </c>
      <c r="B482" s="34" t="s">
        <v>158</v>
      </c>
      <c r="C482" s="37">
        <v>5</v>
      </c>
      <c r="D482" s="36">
        <f t="shared" si="19"/>
        <v>3847.7999999999997</v>
      </c>
      <c r="E482" s="36">
        <f>3814.2+16.6</f>
        <v>3830.7999999999997</v>
      </c>
      <c r="F482" s="36">
        <v>2330.9</v>
      </c>
      <c r="G482" s="36">
        <v>0</v>
      </c>
      <c r="H482" s="36">
        <v>17</v>
      </c>
      <c r="I482" s="36"/>
      <c r="J482" s="36"/>
      <c r="K482" s="36"/>
    </row>
    <row r="483" spans="1:11" ht="15.75" customHeight="1">
      <c r="A483" s="13">
        <f t="shared" si="20"/>
        <v>479</v>
      </c>
      <c r="B483" s="34" t="s">
        <v>158</v>
      </c>
      <c r="C483" s="37">
        <v>7</v>
      </c>
      <c r="D483" s="36">
        <f t="shared" si="19"/>
        <v>7763.400000000001</v>
      </c>
      <c r="E483" s="36">
        <v>7671.8</v>
      </c>
      <c r="F483" s="36">
        <v>4677.5</v>
      </c>
      <c r="G483" s="36">
        <v>17.6</v>
      </c>
      <c r="H483" s="36">
        <v>74</v>
      </c>
      <c r="I483" s="36"/>
      <c r="J483" s="36"/>
      <c r="K483" s="36"/>
    </row>
    <row r="484" spans="1:11" ht="15.75" customHeight="1">
      <c r="A484" s="13">
        <f t="shared" si="20"/>
        <v>480</v>
      </c>
      <c r="B484" s="34" t="s">
        <v>158</v>
      </c>
      <c r="C484" s="37">
        <v>26</v>
      </c>
      <c r="D484" s="36">
        <f t="shared" si="19"/>
        <v>10323.2</v>
      </c>
      <c r="E484" s="36">
        <f>10173.6-32.4+15.7</f>
        <v>10156.900000000001</v>
      </c>
      <c r="F484" s="36">
        <f>5457.7-12.4+12.2</f>
        <v>5457.5</v>
      </c>
      <c r="G484" s="36">
        <f>16.4+32.4</f>
        <v>48.8</v>
      </c>
      <c r="H484" s="36">
        <v>117.5</v>
      </c>
      <c r="I484" s="36"/>
      <c r="J484" s="36"/>
      <c r="K484" s="36"/>
    </row>
    <row r="485" spans="1:11" ht="15.75" customHeight="1">
      <c r="A485" s="13">
        <f t="shared" si="20"/>
        <v>481</v>
      </c>
      <c r="B485" s="34" t="s">
        <v>158</v>
      </c>
      <c r="C485" s="37">
        <v>27</v>
      </c>
      <c r="D485" s="36">
        <f t="shared" si="19"/>
        <v>18592.600000000002</v>
      </c>
      <c r="E485" s="36">
        <f>13532.3-105.5+4984.1-261.2</f>
        <v>18149.7</v>
      </c>
      <c r="F485" s="36">
        <f>8226.6-63.2+2924.2</f>
        <v>11087.6</v>
      </c>
      <c r="G485" s="36">
        <v>105.5</v>
      </c>
      <c r="H485" s="36">
        <f>232.4+105</f>
        <v>337.4</v>
      </c>
      <c r="I485" s="36"/>
      <c r="J485" s="36"/>
      <c r="K485" s="36"/>
    </row>
    <row r="486" spans="1:11" ht="15.75" customHeight="1">
      <c r="A486" s="13">
        <f t="shared" si="20"/>
        <v>482</v>
      </c>
      <c r="B486" s="34" t="s">
        <v>158</v>
      </c>
      <c r="C486" s="37">
        <v>28</v>
      </c>
      <c r="D486" s="36">
        <f t="shared" si="19"/>
        <v>10847.7</v>
      </c>
      <c r="E486" s="36">
        <v>10643.6</v>
      </c>
      <c r="F486" s="36">
        <v>6018</v>
      </c>
      <c r="G486" s="36">
        <v>31.7</v>
      </c>
      <c r="H486" s="36">
        <v>172.4</v>
      </c>
      <c r="I486" s="36"/>
      <c r="J486" s="36"/>
      <c r="K486" s="36"/>
    </row>
    <row r="487" spans="1:11" ht="15.75" customHeight="1">
      <c r="A487" s="13">
        <f t="shared" si="20"/>
        <v>483</v>
      </c>
      <c r="B487" s="34" t="s">
        <v>158</v>
      </c>
      <c r="C487" s="37">
        <v>30</v>
      </c>
      <c r="D487" s="36">
        <f t="shared" si="19"/>
        <v>26658.7</v>
      </c>
      <c r="E487" s="36">
        <f>26301.8</f>
        <v>26301.8</v>
      </c>
      <c r="F487" s="36">
        <v>16093.3</v>
      </c>
      <c r="G487" s="36"/>
      <c r="H487" s="36">
        <v>356.9</v>
      </c>
      <c r="I487" s="36">
        <v>17.3</v>
      </c>
      <c r="J487" s="36">
        <v>17</v>
      </c>
      <c r="K487" s="36"/>
    </row>
    <row r="488" spans="1:11" ht="15.75" customHeight="1">
      <c r="A488" s="13">
        <f t="shared" si="20"/>
        <v>484</v>
      </c>
      <c r="B488" s="34" t="s">
        <v>158</v>
      </c>
      <c r="C488" s="37" t="s">
        <v>16</v>
      </c>
      <c r="D488" s="36">
        <f t="shared" si="19"/>
        <v>6632.599999999999</v>
      </c>
      <c r="E488" s="36">
        <v>6539.9</v>
      </c>
      <c r="F488" s="36">
        <f>3974.2+3500</f>
        <v>7474.2</v>
      </c>
      <c r="G488" s="36"/>
      <c r="H488" s="36">
        <v>92.7</v>
      </c>
      <c r="I488" s="36">
        <v>50.3</v>
      </c>
      <c r="J488" s="36"/>
      <c r="K488" s="36"/>
    </row>
    <row r="489" spans="1:11" ht="15.75" customHeight="1">
      <c r="A489" s="13">
        <f t="shared" si="20"/>
        <v>485</v>
      </c>
      <c r="B489" s="34" t="s">
        <v>158</v>
      </c>
      <c r="C489" s="37" t="s">
        <v>104</v>
      </c>
      <c r="D489" s="36">
        <f t="shared" si="19"/>
        <v>3895</v>
      </c>
      <c r="E489" s="36">
        <v>3784.7</v>
      </c>
      <c r="F489" s="36">
        <v>2310.6</v>
      </c>
      <c r="G489" s="36">
        <v>50</v>
      </c>
      <c r="H489" s="36">
        <v>60.3</v>
      </c>
      <c r="I489" s="36">
        <f>32.8</f>
        <v>32.8</v>
      </c>
      <c r="J489" s="36"/>
      <c r="K489" s="36"/>
    </row>
    <row r="490" spans="1:11" ht="15.75" customHeight="1">
      <c r="A490" s="13">
        <f t="shared" si="20"/>
        <v>486</v>
      </c>
      <c r="B490" s="34" t="s">
        <v>159</v>
      </c>
      <c r="C490" s="37">
        <v>2</v>
      </c>
      <c r="D490" s="36">
        <f t="shared" si="19"/>
        <v>3242</v>
      </c>
      <c r="E490" s="36">
        <v>3147</v>
      </c>
      <c r="F490" s="36">
        <v>1845.2</v>
      </c>
      <c r="G490" s="36">
        <v>25.3</v>
      </c>
      <c r="H490" s="36">
        <v>69.7</v>
      </c>
      <c r="I490" s="36"/>
      <c r="J490" s="36"/>
      <c r="K490" s="36"/>
    </row>
    <row r="491" spans="1:11" ht="15.75" customHeight="1">
      <c r="A491" s="13">
        <f t="shared" si="20"/>
        <v>487</v>
      </c>
      <c r="B491" s="34" t="s">
        <v>159</v>
      </c>
      <c r="C491" s="37">
        <v>4</v>
      </c>
      <c r="D491" s="36">
        <f t="shared" si="19"/>
        <v>3276.3</v>
      </c>
      <c r="E491" s="36">
        <f>3173.4+26.6</f>
        <v>3200</v>
      </c>
      <c r="F491" s="36">
        <f>1847+26.6</f>
        <v>1873.6</v>
      </c>
      <c r="G491" s="36">
        <f>25.4-25.4</f>
        <v>0</v>
      </c>
      <c r="H491" s="36">
        <v>76.3</v>
      </c>
      <c r="I491" s="36"/>
      <c r="J491" s="36"/>
      <c r="K491" s="36"/>
    </row>
    <row r="492" spans="1:11" ht="15.75" customHeight="1">
      <c r="A492" s="13">
        <f t="shared" si="20"/>
        <v>488</v>
      </c>
      <c r="B492" s="34" t="s">
        <v>159</v>
      </c>
      <c r="C492" s="37">
        <v>10</v>
      </c>
      <c r="D492" s="36">
        <f t="shared" si="19"/>
        <v>3402</v>
      </c>
      <c r="E492" s="36">
        <v>3330.4</v>
      </c>
      <c r="F492" s="36">
        <v>1920.4</v>
      </c>
      <c r="G492" s="36">
        <v>0</v>
      </c>
      <c r="H492" s="36">
        <v>71.6</v>
      </c>
      <c r="I492" s="36"/>
      <c r="J492" s="36"/>
      <c r="K492" s="36"/>
    </row>
    <row r="493" spans="1:11" ht="15.75" customHeight="1">
      <c r="A493" s="13">
        <f t="shared" si="20"/>
        <v>489</v>
      </c>
      <c r="B493" s="34" t="s">
        <v>159</v>
      </c>
      <c r="C493" s="37">
        <v>12</v>
      </c>
      <c r="D493" s="36">
        <f t="shared" si="19"/>
        <v>3370.7000000000003</v>
      </c>
      <c r="E493" s="36">
        <f>3250.8+26.4</f>
        <v>3277.2000000000003</v>
      </c>
      <c r="F493" s="36">
        <f>1896.5+26.4</f>
        <v>1922.9</v>
      </c>
      <c r="G493" s="36">
        <v>26.6</v>
      </c>
      <c r="H493" s="36">
        <v>66.9</v>
      </c>
      <c r="I493" s="36"/>
      <c r="J493" s="36"/>
      <c r="K493" s="36"/>
    </row>
    <row r="494" spans="1:11" ht="15.75" customHeight="1">
      <c r="A494" s="13">
        <f t="shared" si="20"/>
        <v>490</v>
      </c>
      <c r="B494" s="34" t="s">
        <v>160</v>
      </c>
      <c r="C494" s="37">
        <v>14</v>
      </c>
      <c r="D494" s="36">
        <f t="shared" si="19"/>
        <v>5858.8</v>
      </c>
      <c r="E494" s="36">
        <v>5796.9</v>
      </c>
      <c r="F494" s="36">
        <v>3553.8</v>
      </c>
      <c r="G494" s="36">
        <v>17.1</v>
      </c>
      <c r="H494" s="36">
        <v>44.8</v>
      </c>
      <c r="I494" s="36"/>
      <c r="J494" s="36"/>
      <c r="K494" s="36"/>
    </row>
    <row r="495" spans="1:11" ht="15.75" customHeight="1">
      <c r="A495" s="13">
        <f t="shared" si="20"/>
        <v>491</v>
      </c>
      <c r="B495" s="34" t="s">
        <v>160</v>
      </c>
      <c r="C495" s="37" t="s">
        <v>161</v>
      </c>
      <c r="D495" s="36">
        <f t="shared" si="19"/>
        <v>6606.8</v>
      </c>
      <c r="E495" s="36">
        <f>5915.5+46.7</f>
        <v>5962.2</v>
      </c>
      <c r="F495" s="36">
        <f>3619.7+35.1</f>
        <v>3654.7999999999997</v>
      </c>
      <c r="G495" s="36">
        <f>570.4-39.3</f>
        <v>531.1</v>
      </c>
      <c r="H495" s="36">
        <f>113.8-0.3</f>
        <v>113.5</v>
      </c>
      <c r="I495" s="36">
        <f>112+213.9</f>
        <v>325.9</v>
      </c>
      <c r="J495" s="36"/>
      <c r="K495" s="36"/>
    </row>
    <row r="496" spans="1:11" ht="15.75" customHeight="1">
      <c r="A496" s="13">
        <f t="shared" si="20"/>
        <v>492</v>
      </c>
      <c r="B496" s="34" t="s">
        <v>162</v>
      </c>
      <c r="C496" s="37">
        <v>14</v>
      </c>
      <c r="D496" s="36">
        <f t="shared" si="19"/>
        <v>2031.3</v>
      </c>
      <c r="E496" s="36">
        <v>1991.2</v>
      </c>
      <c r="F496" s="36">
        <v>1303.4</v>
      </c>
      <c r="G496" s="36"/>
      <c r="H496" s="36">
        <v>40.1</v>
      </c>
      <c r="I496" s="36"/>
      <c r="J496" s="36"/>
      <c r="K496" s="36"/>
    </row>
    <row r="497" spans="1:11" ht="15.75" customHeight="1">
      <c r="A497" s="13">
        <f t="shared" si="20"/>
        <v>493</v>
      </c>
      <c r="B497" s="34" t="s">
        <v>162</v>
      </c>
      <c r="C497" s="37">
        <v>16</v>
      </c>
      <c r="D497" s="36">
        <f t="shared" si="19"/>
        <v>2058.7000000000003</v>
      </c>
      <c r="E497" s="36">
        <f>2054.4-30</f>
        <v>2024.4</v>
      </c>
      <c r="F497" s="36">
        <v>1317.9</v>
      </c>
      <c r="G497" s="36"/>
      <c r="H497" s="36">
        <f>4.3+30</f>
        <v>34.3</v>
      </c>
      <c r="I497" s="36"/>
      <c r="J497" s="36"/>
      <c r="K497" s="36"/>
    </row>
    <row r="498" spans="1:11" ht="15.75" customHeight="1">
      <c r="A498" s="13">
        <f t="shared" si="20"/>
        <v>494</v>
      </c>
      <c r="B498" s="34" t="s">
        <v>163</v>
      </c>
      <c r="C498" s="37">
        <v>1</v>
      </c>
      <c r="D498" s="36">
        <f t="shared" si="19"/>
        <v>1031.1000000000001</v>
      </c>
      <c r="E498" s="36">
        <v>990.7</v>
      </c>
      <c r="F498" s="36">
        <v>574.3</v>
      </c>
      <c r="G498" s="36"/>
      <c r="H498" s="36">
        <v>40.4</v>
      </c>
      <c r="I498" s="36"/>
      <c r="J498" s="36"/>
      <c r="K498" s="36"/>
    </row>
    <row r="499" spans="1:11" ht="15.75" customHeight="1">
      <c r="A499" s="13">
        <f t="shared" si="20"/>
        <v>495</v>
      </c>
      <c r="B499" s="34" t="s">
        <v>163</v>
      </c>
      <c r="C499" s="37">
        <v>3</v>
      </c>
      <c r="D499" s="36">
        <f t="shared" si="19"/>
        <v>1008.9</v>
      </c>
      <c r="E499" s="36">
        <f>1008.9-10.4</f>
        <v>998.5</v>
      </c>
      <c r="F499" s="36">
        <v>589.2</v>
      </c>
      <c r="G499" s="36"/>
      <c r="H499" s="36">
        <v>10.4</v>
      </c>
      <c r="I499" s="36"/>
      <c r="J499" s="36"/>
      <c r="K499" s="36"/>
    </row>
    <row r="500" spans="1:11" ht="15.75" customHeight="1">
      <c r="A500" s="13">
        <f t="shared" si="20"/>
        <v>496</v>
      </c>
      <c r="B500" s="34" t="s">
        <v>163</v>
      </c>
      <c r="C500" s="37">
        <v>5</v>
      </c>
      <c r="D500" s="36">
        <f t="shared" si="19"/>
        <v>682.8</v>
      </c>
      <c r="E500" s="36">
        <v>668.8</v>
      </c>
      <c r="F500" s="36">
        <v>389</v>
      </c>
      <c r="G500" s="36"/>
      <c r="H500" s="36">
        <v>14</v>
      </c>
      <c r="I500" s="36"/>
      <c r="J500" s="36"/>
      <c r="K500" s="36"/>
    </row>
    <row r="501" spans="1:11" ht="15.75" customHeight="1">
      <c r="A501" s="13">
        <f t="shared" si="20"/>
        <v>497</v>
      </c>
      <c r="B501" s="34" t="s">
        <v>144</v>
      </c>
      <c r="C501" s="37">
        <v>1</v>
      </c>
      <c r="D501" s="36">
        <f t="shared" si="19"/>
        <v>11044.199999999999</v>
      </c>
      <c r="E501" s="36">
        <f>10507.3-0.7-192.3-62.9</f>
        <v>10251.4</v>
      </c>
      <c r="F501" s="36">
        <f>7102.8-33.2-44.2</f>
        <v>7025.400000000001</v>
      </c>
      <c r="G501" s="36">
        <f>537.6+62.9</f>
        <v>600.5</v>
      </c>
      <c r="H501" s="36">
        <v>192.3</v>
      </c>
      <c r="I501" s="36"/>
      <c r="J501" s="36"/>
      <c r="K501" s="36"/>
    </row>
    <row r="502" spans="1:11" ht="15.75" customHeight="1">
      <c r="A502" s="13">
        <f t="shared" si="20"/>
        <v>498</v>
      </c>
      <c r="B502" s="34" t="s">
        <v>144</v>
      </c>
      <c r="C502" s="37">
        <v>3</v>
      </c>
      <c r="D502" s="36">
        <f t="shared" si="19"/>
        <v>15838.3</v>
      </c>
      <c r="E502" s="36">
        <f>13371.5-63-105</f>
        <v>13203.5</v>
      </c>
      <c r="F502" s="36">
        <f>9260.8-59</f>
        <v>9201.8</v>
      </c>
      <c r="G502" s="36">
        <f>2458.3</f>
        <v>2458.3</v>
      </c>
      <c r="H502" s="36">
        <f>8.5+63+105</f>
        <v>176.5</v>
      </c>
      <c r="I502" s="36">
        <f>121+126.1+117.7</f>
        <v>364.8</v>
      </c>
      <c r="J502" s="36"/>
      <c r="K502" s="36"/>
    </row>
    <row r="503" spans="1:11" ht="15.75" customHeight="1">
      <c r="A503" s="13">
        <f t="shared" si="20"/>
        <v>499</v>
      </c>
      <c r="B503" s="34" t="s">
        <v>144</v>
      </c>
      <c r="C503" s="37">
        <v>5</v>
      </c>
      <c r="D503" s="36">
        <f t="shared" si="19"/>
        <v>3225.5</v>
      </c>
      <c r="E503" s="36">
        <f>3165.7-0.1-72.5-39.8-31.5</f>
        <v>3021.7999999999997</v>
      </c>
      <c r="F503" s="36">
        <f>2014.3-28.1-18.5</f>
        <v>1967.7</v>
      </c>
      <c r="G503" s="36">
        <f>60.4+12.2+39.8+31.5</f>
        <v>143.89999999999998</v>
      </c>
      <c r="H503" s="36">
        <v>59.8</v>
      </c>
      <c r="I503" s="36">
        <v>72</v>
      </c>
      <c r="J503" s="36"/>
      <c r="K503" s="36"/>
    </row>
    <row r="504" spans="1:11" ht="15.75" customHeight="1">
      <c r="A504" s="13">
        <f t="shared" si="20"/>
        <v>500</v>
      </c>
      <c r="B504" s="34" t="s">
        <v>144</v>
      </c>
      <c r="C504" s="37">
        <v>15</v>
      </c>
      <c r="D504" s="36">
        <f t="shared" si="19"/>
        <v>2614.7</v>
      </c>
      <c r="E504" s="36">
        <f>2614.7-53.5</f>
        <v>2561.2</v>
      </c>
      <c r="F504" s="36">
        <v>1662.4</v>
      </c>
      <c r="G504" s="36"/>
      <c r="H504" s="36">
        <v>53.5</v>
      </c>
      <c r="I504" s="36"/>
      <c r="J504" s="36"/>
      <c r="K504" s="36"/>
    </row>
    <row r="505" spans="1:11" ht="15.75" customHeight="1">
      <c r="A505" s="13">
        <f t="shared" si="20"/>
        <v>501</v>
      </c>
      <c r="B505" s="34" t="s">
        <v>144</v>
      </c>
      <c r="C505" s="37">
        <v>17</v>
      </c>
      <c r="D505" s="36">
        <f t="shared" si="19"/>
        <v>3686.5</v>
      </c>
      <c r="E505" s="36">
        <f>2592.4-52</f>
        <v>2540.4</v>
      </c>
      <c r="F505" s="36">
        <v>1649.4</v>
      </c>
      <c r="G505" s="36">
        <v>1094.1</v>
      </c>
      <c r="H505" s="36">
        <v>52</v>
      </c>
      <c r="I505" s="36"/>
      <c r="J505" s="36"/>
      <c r="K505" s="36"/>
    </row>
    <row r="506" spans="1:11" ht="15.75" customHeight="1">
      <c r="A506" s="13">
        <f t="shared" si="20"/>
        <v>502</v>
      </c>
      <c r="B506" s="34" t="s">
        <v>144</v>
      </c>
      <c r="C506" s="37">
        <v>31</v>
      </c>
      <c r="D506" s="36">
        <f t="shared" si="19"/>
        <v>2676.6000000000004</v>
      </c>
      <c r="E506" s="36">
        <f>2506.4+0.4</f>
        <v>2506.8</v>
      </c>
      <c r="F506" s="36">
        <v>1537.4</v>
      </c>
      <c r="G506" s="36">
        <v>128.8</v>
      </c>
      <c r="H506" s="36">
        <v>41</v>
      </c>
      <c r="I506" s="36"/>
      <c r="J506" s="36"/>
      <c r="K506" s="36"/>
    </row>
    <row r="507" spans="1:11" ht="15.75" customHeight="1">
      <c r="A507" s="13">
        <f t="shared" si="20"/>
        <v>503</v>
      </c>
      <c r="B507" s="34" t="s">
        <v>144</v>
      </c>
      <c r="C507" s="37">
        <v>33</v>
      </c>
      <c r="D507" s="36">
        <f t="shared" si="19"/>
        <v>1828</v>
      </c>
      <c r="E507" s="36">
        <v>1828</v>
      </c>
      <c r="F507" s="36">
        <v>1219.4</v>
      </c>
      <c r="G507" s="36"/>
      <c r="H507" s="36"/>
      <c r="I507" s="36"/>
      <c r="J507" s="36"/>
      <c r="K507" s="36"/>
    </row>
    <row r="508" spans="1:11" ht="15.75" customHeight="1">
      <c r="A508" s="13">
        <f t="shared" si="20"/>
        <v>504</v>
      </c>
      <c r="B508" s="34" t="s">
        <v>144</v>
      </c>
      <c r="C508" s="37">
        <v>35</v>
      </c>
      <c r="D508" s="36">
        <f t="shared" si="19"/>
        <v>2698.1000000000004</v>
      </c>
      <c r="E508" s="36">
        <v>2212.8</v>
      </c>
      <c r="F508" s="36">
        <v>1363.4</v>
      </c>
      <c r="G508" s="36">
        <v>485.3</v>
      </c>
      <c r="H508" s="36"/>
      <c r="I508" s="36">
        <v>229.1</v>
      </c>
      <c r="J508" s="36"/>
      <c r="K508" s="36"/>
    </row>
    <row r="509" spans="1:11" ht="15.75" customHeight="1">
      <c r="A509" s="13">
        <f t="shared" si="20"/>
        <v>505</v>
      </c>
      <c r="B509" s="34" t="s">
        <v>144</v>
      </c>
      <c r="C509" s="37">
        <v>37</v>
      </c>
      <c r="D509" s="36">
        <f t="shared" si="19"/>
        <v>1103.2</v>
      </c>
      <c r="E509" s="36">
        <v>1098</v>
      </c>
      <c r="F509" s="36">
        <v>755.2</v>
      </c>
      <c r="G509" s="36"/>
      <c r="H509" s="36">
        <v>5.2</v>
      </c>
      <c r="I509" s="36"/>
      <c r="J509" s="36"/>
      <c r="K509" s="36"/>
    </row>
    <row r="510" spans="1:11" ht="15.75" customHeight="1">
      <c r="A510" s="13">
        <f t="shared" si="20"/>
        <v>506</v>
      </c>
      <c r="B510" s="34" t="s">
        <v>144</v>
      </c>
      <c r="C510" s="37">
        <v>39</v>
      </c>
      <c r="D510" s="36">
        <f t="shared" si="19"/>
        <v>1109</v>
      </c>
      <c r="E510" s="36">
        <v>1083.9</v>
      </c>
      <c r="F510" s="36">
        <v>742.9</v>
      </c>
      <c r="G510" s="36"/>
      <c r="H510" s="36">
        <v>25.1</v>
      </c>
      <c r="I510" s="36"/>
      <c r="J510" s="36"/>
      <c r="K510" s="36"/>
    </row>
    <row r="511" spans="1:11" ht="15.75" customHeight="1">
      <c r="A511" s="13">
        <f t="shared" si="20"/>
        <v>507</v>
      </c>
      <c r="B511" s="34" t="s">
        <v>144</v>
      </c>
      <c r="C511" s="37">
        <v>41</v>
      </c>
      <c r="D511" s="36">
        <f t="shared" si="19"/>
        <v>1117.2</v>
      </c>
      <c r="E511" s="36">
        <v>1024</v>
      </c>
      <c r="F511" s="36">
        <v>697.6</v>
      </c>
      <c r="G511" s="36">
        <v>74.4</v>
      </c>
      <c r="H511" s="36">
        <v>18.8</v>
      </c>
      <c r="I511" s="36">
        <v>77</v>
      </c>
      <c r="J511" s="36"/>
      <c r="K511" s="36"/>
    </row>
    <row r="512" spans="1:11" ht="15.75" customHeight="1">
      <c r="A512" s="13">
        <f t="shared" si="20"/>
        <v>508</v>
      </c>
      <c r="B512" s="34" t="s">
        <v>144</v>
      </c>
      <c r="C512" s="37">
        <v>47</v>
      </c>
      <c r="D512" s="36">
        <f t="shared" si="19"/>
        <v>993.6999999999999</v>
      </c>
      <c r="E512" s="36">
        <v>986.4</v>
      </c>
      <c r="F512" s="36">
        <v>572.4</v>
      </c>
      <c r="G512" s="36"/>
      <c r="H512" s="36">
        <v>7.3</v>
      </c>
      <c r="I512" s="36"/>
      <c r="J512" s="36"/>
      <c r="K512" s="36"/>
    </row>
    <row r="513" spans="1:11" ht="15.75" customHeight="1">
      <c r="A513" s="13">
        <f t="shared" si="20"/>
        <v>509</v>
      </c>
      <c r="B513" s="34" t="s">
        <v>144</v>
      </c>
      <c r="C513" s="37">
        <v>49</v>
      </c>
      <c r="D513" s="36">
        <f t="shared" si="19"/>
        <v>1011.6999999999999</v>
      </c>
      <c r="E513" s="36">
        <v>1002.8</v>
      </c>
      <c r="F513" s="36">
        <v>580.4</v>
      </c>
      <c r="G513" s="36"/>
      <c r="H513" s="36">
        <v>8.9</v>
      </c>
      <c r="I513" s="36"/>
      <c r="J513" s="36"/>
      <c r="K513" s="36"/>
    </row>
    <row r="514" spans="1:11" ht="15.75" customHeight="1">
      <c r="A514" s="13">
        <f t="shared" si="20"/>
        <v>510</v>
      </c>
      <c r="B514" s="34" t="s">
        <v>144</v>
      </c>
      <c r="C514" s="37">
        <v>51</v>
      </c>
      <c r="D514" s="36">
        <f aca="true" t="shared" si="21" ref="D514:D577">E514+G514+H514</f>
        <v>1006.1</v>
      </c>
      <c r="E514" s="36">
        <v>996.7</v>
      </c>
      <c r="F514" s="36">
        <v>575.4</v>
      </c>
      <c r="G514" s="36"/>
      <c r="H514" s="36">
        <v>9.4</v>
      </c>
      <c r="I514" s="36"/>
      <c r="J514" s="36"/>
      <c r="K514" s="36"/>
    </row>
    <row r="515" spans="1:11" ht="15.75" customHeight="1">
      <c r="A515" s="13">
        <f t="shared" si="20"/>
        <v>511</v>
      </c>
      <c r="B515" s="34" t="s">
        <v>144</v>
      </c>
      <c r="C515" s="37">
        <v>80</v>
      </c>
      <c r="D515" s="36">
        <f t="shared" si="21"/>
        <v>7540.4</v>
      </c>
      <c r="E515" s="36">
        <v>7100.2</v>
      </c>
      <c r="F515" s="36">
        <v>4868.3</v>
      </c>
      <c r="G515" s="36">
        <v>440.2</v>
      </c>
      <c r="H515" s="36"/>
      <c r="I515" s="36"/>
      <c r="J515" s="36"/>
      <c r="K515" s="36"/>
    </row>
    <row r="516" spans="1:11" ht="15.75" customHeight="1">
      <c r="A516" s="13">
        <f t="shared" si="20"/>
        <v>512</v>
      </c>
      <c r="B516" s="34" t="s">
        <v>144</v>
      </c>
      <c r="C516" s="37" t="s">
        <v>164</v>
      </c>
      <c r="D516" s="36">
        <f t="shared" si="21"/>
        <v>1161.7000000000003</v>
      </c>
      <c r="E516" s="36">
        <v>1095.4</v>
      </c>
      <c r="F516" s="36">
        <v>748.6</v>
      </c>
      <c r="G516" s="36">
        <v>39.9</v>
      </c>
      <c r="H516" s="36">
        <v>26.4</v>
      </c>
      <c r="I516" s="36"/>
      <c r="J516" s="36"/>
      <c r="K516" s="36"/>
    </row>
    <row r="517" spans="1:11" ht="15.75" customHeight="1">
      <c r="A517" s="13">
        <f t="shared" si="20"/>
        <v>513</v>
      </c>
      <c r="B517" s="34" t="s">
        <v>144</v>
      </c>
      <c r="C517" s="37" t="s">
        <v>151</v>
      </c>
      <c r="D517" s="36">
        <f t="shared" si="21"/>
        <v>1245.3000000000002</v>
      </c>
      <c r="E517" s="36">
        <v>1105.4</v>
      </c>
      <c r="F517" s="36">
        <v>746.8</v>
      </c>
      <c r="G517" s="36">
        <v>115.9</v>
      </c>
      <c r="H517" s="36">
        <v>24</v>
      </c>
      <c r="I517" s="36"/>
      <c r="J517" s="36"/>
      <c r="K517" s="36"/>
    </row>
    <row r="518" spans="1:11" ht="15.75" customHeight="1">
      <c r="A518" s="13">
        <f aca="true" t="shared" si="22" ref="A518:A581">A517+1</f>
        <v>514</v>
      </c>
      <c r="B518" s="34" t="s">
        <v>145</v>
      </c>
      <c r="C518" s="37">
        <v>69</v>
      </c>
      <c r="D518" s="36">
        <f t="shared" si="21"/>
        <v>2866.6000000000004</v>
      </c>
      <c r="E518" s="36">
        <v>2820.3</v>
      </c>
      <c r="F518" s="36">
        <v>1890</v>
      </c>
      <c r="G518" s="36"/>
      <c r="H518" s="36">
        <v>46.3</v>
      </c>
      <c r="I518" s="36"/>
      <c r="J518" s="36"/>
      <c r="K518" s="36"/>
    </row>
    <row r="519" spans="1:11" ht="15.75" customHeight="1">
      <c r="A519" s="13">
        <f t="shared" si="22"/>
        <v>515</v>
      </c>
      <c r="B519" s="34" t="s">
        <v>165</v>
      </c>
      <c r="C519" s="26">
        <v>1</v>
      </c>
      <c r="D519" s="36">
        <f t="shared" si="21"/>
        <v>5345.400000000001</v>
      </c>
      <c r="E519" s="26">
        <v>5239.6</v>
      </c>
      <c r="F519" s="26">
        <v>3477.8</v>
      </c>
      <c r="G519" s="26">
        <v>54.5</v>
      </c>
      <c r="H519" s="26">
        <f>40.2+11.1</f>
        <v>51.300000000000004</v>
      </c>
      <c r="I519" s="26"/>
      <c r="J519" s="26"/>
      <c r="K519" s="26"/>
    </row>
    <row r="520" spans="1:11" ht="15.75" customHeight="1">
      <c r="A520" s="13">
        <f t="shared" si="22"/>
        <v>516</v>
      </c>
      <c r="B520" s="34" t="s">
        <v>165</v>
      </c>
      <c r="C520" s="37">
        <v>2</v>
      </c>
      <c r="D520" s="36">
        <f t="shared" si="21"/>
        <v>12689.5</v>
      </c>
      <c r="E520" s="36">
        <f>9526.4-143.5+60.7</f>
        <v>9443.6</v>
      </c>
      <c r="F520" s="36">
        <f>6344.2-97.6+97.6</f>
        <v>6344.2</v>
      </c>
      <c r="G520" s="36">
        <f>3103.9+143.5-143.5</f>
        <v>3103.9</v>
      </c>
      <c r="H520" s="36">
        <f>116.1+25.9</f>
        <v>142</v>
      </c>
      <c r="I520" s="36">
        <f>90.5+60.4+127.9+31.6</f>
        <v>310.40000000000003</v>
      </c>
      <c r="J520" s="36"/>
      <c r="K520" s="36"/>
    </row>
    <row r="521" spans="1:11" ht="15.75" customHeight="1">
      <c r="A521" s="13">
        <f t="shared" si="22"/>
        <v>517</v>
      </c>
      <c r="B521" s="34" t="s">
        <v>165</v>
      </c>
      <c r="C521" s="26">
        <v>3</v>
      </c>
      <c r="D521" s="36">
        <f t="shared" si="21"/>
        <v>7350.1</v>
      </c>
      <c r="E521" s="26">
        <f>5179.6+349.5</f>
        <v>5529.1</v>
      </c>
      <c r="F521" s="26">
        <f>3318.1+237.7</f>
        <v>3555.7999999999997</v>
      </c>
      <c r="G521" s="26">
        <f>485.9+54+160.5</f>
        <v>700.4</v>
      </c>
      <c r="H521" s="26">
        <f>1718.1-597.5</f>
        <v>1120.6</v>
      </c>
      <c r="I521" s="26"/>
      <c r="J521" s="26"/>
      <c r="K521" s="26"/>
    </row>
    <row r="522" spans="1:11" ht="15.75" customHeight="1">
      <c r="A522" s="13">
        <f t="shared" si="22"/>
        <v>518</v>
      </c>
      <c r="B522" s="34" t="s">
        <v>165</v>
      </c>
      <c r="C522" s="37">
        <v>4</v>
      </c>
      <c r="D522" s="36">
        <f t="shared" si="21"/>
        <v>13207.3</v>
      </c>
      <c r="E522" s="36">
        <v>8800.4</v>
      </c>
      <c r="F522" s="36">
        <v>5566.7</v>
      </c>
      <c r="G522" s="36">
        <v>4406.9</v>
      </c>
      <c r="H522" s="36"/>
      <c r="I522" s="36">
        <f>163.9+216+85.6</f>
        <v>465.5</v>
      </c>
      <c r="J522" s="36"/>
      <c r="K522" s="36"/>
    </row>
    <row r="523" spans="1:11" ht="15.75" customHeight="1">
      <c r="A523" s="13">
        <f t="shared" si="22"/>
        <v>519</v>
      </c>
      <c r="B523" s="34" t="s">
        <v>165</v>
      </c>
      <c r="C523" s="37">
        <v>6</v>
      </c>
      <c r="D523" s="36">
        <f t="shared" si="21"/>
        <v>12709.400000000001</v>
      </c>
      <c r="E523" s="36">
        <f>9776.6-197.9-85.8</f>
        <v>9492.900000000001</v>
      </c>
      <c r="F523" s="36">
        <f>5766.9-132.8-63.5</f>
        <v>5570.599999999999</v>
      </c>
      <c r="G523" s="36">
        <f>2932.8+197.9+85.8</f>
        <v>3216.5000000000005</v>
      </c>
      <c r="H523" s="36"/>
      <c r="I523" s="36">
        <v>7</v>
      </c>
      <c r="J523" s="36"/>
      <c r="K523" s="36"/>
    </row>
    <row r="524" spans="1:11" ht="15.75" customHeight="1">
      <c r="A524" s="13">
        <f t="shared" si="22"/>
        <v>520</v>
      </c>
      <c r="B524" s="34" t="s">
        <v>165</v>
      </c>
      <c r="C524" s="37">
        <v>8</v>
      </c>
      <c r="D524" s="36">
        <f t="shared" si="21"/>
        <v>3064.2999999999997</v>
      </c>
      <c r="E524" s="36">
        <f>2454.1-137.3-61.3+57.4</f>
        <v>2312.8999999999996</v>
      </c>
      <c r="F524" s="36">
        <f>1470.1-86.1-38+46.3</f>
        <v>1392.3</v>
      </c>
      <c r="G524" s="36">
        <f>440.9+137.3+61.3+111.9</f>
        <v>751.4</v>
      </c>
      <c r="H524" s="36">
        <f>80.1+89.2+135.9+30.9-336.1</f>
        <v>0</v>
      </c>
      <c r="I524" s="36"/>
      <c r="J524" s="36"/>
      <c r="K524" s="36"/>
    </row>
    <row r="525" spans="1:11" ht="15.75" customHeight="1">
      <c r="A525" s="13">
        <f t="shared" si="22"/>
        <v>521</v>
      </c>
      <c r="B525" s="34" t="s">
        <v>165</v>
      </c>
      <c r="C525" s="37">
        <v>10</v>
      </c>
      <c r="D525" s="36">
        <f t="shared" si="21"/>
        <v>13882.500000000002</v>
      </c>
      <c r="E525" s="36">
        <f>10277.7-87.9-67.5-149-64.5-19+78.7</f>
        <v>9968.500000000002</v>
      </c>
      <c r="F525" s="36">
        <f>6053.5-63.3-98.2-41.2-59.2+52.2</f>
        <v>5843.8</v>
      </c>
      <c r="G525" s="36">
        <f>3204.3+87.9+67.5+149+64.3+357.4-78.7</f>
        <v>3851.7000000000007</v>
      </c>
      <c r="H525" s="36">
        <v>62.3</v>
      </c>
      <c r="I525" s="36">
        <f>13.2+1144+16.4</f>
        <v>1173.6000000000001</v>
      </c>
      <c r="J525" s="36"/>
      <c r="K525" s="36"/>
    </row>
    <row r="526" spans="1:11" ht="15.75" customHeight="1">
      <c r="A526" s="13">
        <f t="shared" si="22"/>
        <v>522</v>
      </c>
      <c r="B526" s="34" t="s">
        <v>165</v>
      </c>
      <c r="C526" s="37">
        <v>11</v>
      </c>
      <c r="D526" s="36">
        <f t="shared" si="21"/>
        <v>3263.2000000000003</v>
      </c>
      <c r="E526" s="36">
        <f>2619.1-40.8-31.7</f>
        <v>2546.6</v>
      </c>
      <c r="F526" s="36">
        <f>1695.4-28.2-18.9</f>
        <v>1648.3</v>
      </c>
      <c r="G526" s="36">
        <f>581.7+40.8+31.7</f>
        <v>654.2</v>
      </c>
      <c r="H526" s="36">
        <v>62.4</v>
      </c>
      <c r="I526" s="36">
        <v>155.2</v>
      </c>
      <c r="J526" s="36"/>
      <c r="K526" s="36"/>
    </row>
    <row r="527" spans="1:11" ht="15.75" customHeight="1">
      <c r="A527" s="13">
        <f t="shared" si="22"/>
        <v>523</v>
      </c>
      <c r="B527" s="34" t="s">
        <v>165</v>
      </c>
      <c r="C527" s="37">
        <v>12</v>
      </c>
      <c r="D527" s="36">
        <f t="shared" si="21"/>
        <v>10035.800000000001</v>
      </c>
      <c r="E527" s="36">
        <f>9159.9-852.9-59.9-76.4</f>
        <v>8170.700000000001</v>
      </c>
      <c r="F527" s="36">
        <f>5757.5-39-54.8</f>
        <v>5663.7</v>
      </c>
      <c r="G527" s="36">
        <f>614.7+852.9+59.9+76.4</f>
        <v>1603.9</v>
      </c>
      <c r="H527" s="36">
        <f>80+181.2</f>
        <v>261.2</v>
      </c>
      <c r="I527" s="36">
        <f>83.7</f>
        <v>83.7</v>
      </c>
      <c r="J527" s="36"/>
      <c r="K527" s="36"/>
    </row>
    <row r="528" spans="1:11" ht="15.75" customHeight="1">
      <c r="A528" s="13">
        <f t="shared" si="22"/>
        <v>524</v>
      </c>
      <c r="B528" s="34" t="s">
        <v>165</v>
      </c>
      <c r="C528" s="37">
        <v>13</v>
      </c>
      <c r="D528" s="36">
        <f t="shared" si="21"/>
        <v>3866.8999999999996</v>
      </c>
      <c r="E528" s="36">
        <f>2573.4-32.9</f>
        <v>2540.5</v>
      </c>
      <c r="F528" s="36">
        <f>1662.5-19.3</f>
        <v>1643.2</v>
      </c>
      <c r="G528" s="36">
        <f>1254.8+32.9</f>
        <v>1287.7</v>
      </c>
      <c r="H528" s="36">
        <v>38.7</v>
      </c>
      <c r="I528" s="36"/>
      <c r="J528" s="36"/>
      <c r="K528" s="36"/>
    </row>
    <row r="529" spans="1:11" ht="15.75" customHeight="1">
      <c r="A529" s="13">
        <f t="shared" si="22"/>
        <v>525</v>
      </c>
      <c r="B529" s="34" t="s">
        <v>165</v>
      </c>
      <c r="C529" s="37">
        <v>14</v>
      </c>
      <c r="D529" s="36">
        <f t="shared" si="21"/>
        <v>5281.2</v>
      </c>
      <c r="E529" s="36">
        <f>4161-55.8</f>
        <v>4105.2</v>
      </c>
      <c r="F529" s="36">
        <f>2631.9-34.8</f>
        <v>2597.1</v>
      </c>
      <c r="G529" s="36">
        <f>860+55.8+0.9</f>
        <v>916.6999999999999</v>
      </c>
      <c r="H529" s="36">
        <f>259.3+0.9-0.9</f>
        <v>259.3</v>
      </c>
      <c r="I529" s="36"/>
      <c r="J529" s="36"/>
      <c r="K529" s="36"/>
    </row>
    <row r="530" spans="1:11" ht="15.75" customHeight="1">
      <c r="A530" s="13">
        <f t="shared" si="22"/>
        <v>526</v>
      </c>
      <c r="B530" s="34" t="s">
        <v>165</v>
      </c>
      <c r="C530" s="37">
        <v>15</v>
      </c>
      <c r="D530" s="36">
        <f t="shared" si="21"/>
        <v>3238.1</v>
      </c>
      <c r="E530" s="36">
        <f>3197.9-305.9+40.2-42.9-40.2-89.1</f>
        <v>2760</v>
      </c>
      <c r="F530" s="36">
        <f>2041.9-174-53.8+28.4-28.2-28.4</f>
        <v>1785.9</v>
      </c>
      <c r="G530" s="36">
        <f>268.4+129.3-40.2+42.9+40.2</f>
        <v>440.59999999999997</v>
      </c>
      <c r="H530" s="36">
        <f>40.2+37.5-40.2</f>
        <v>37.5</v>
      </c>
      <c r="I530" s="36">
        <f>115.8</f>
        <v>115.8</v>
      </c>
      <c r="J530" s="36"/>
      <c r="K530" s="36"/>
    </row>
    <row r="531" spans="1:11" ht="15.75" customHeight="1">
      <c r="A531" s="13">
        <f t="shared" si="22"/>
        <v>527</v>
      </c>
      <c r="B531" s="34" t="s">
        <v>165</v>
      </c>
      <c r="C531" s="37">
        <v>16</v>
      </c>
      <c r="D531" s="36">
        <f t="shared" si="21"/>
        <v>14050.1</v>
      </c>
      <c r="E531" s="36">
        <f>11505.9-47.4-293.2-0.2-55.3-71.8+2.3+1.1</f>
        <v>11041.4</v>
      </c>
      <c r="F531" s="36">
        <f>6650.4-24.8-165.9-0.8-27.1-43.3</f>
        <v>6388.499999999999</v>
      </c>
      <c r="G531" s="36">
        <f>1892.4+47.4+293.2+622.9+55.3+71.8</f>
        <v>2983.0000000000005</v>
      </c>
      <c r="H531" s="36">
        <f>25.7+462.9-462.9</f>
        <v>25.69999999999999</v>
      </c>
      <c r="I531" s="36">
        <f>55.1+122+39.3+90.8+631.2+147+428.2</f>
        <v>1513.6000000000001</v>
      </c>
      <c r="J531" s="36"/>
      <c r="K531" s="36"/>
    </row>
    <row r="532" spans="1:11" ht="15.75" customHeight="1">
      <c r="A532" s="13">
        <f t="shared" si="22"/>
        <v>528</v>
      </c>
      <c r="B532" s="34" t="s">
        <v>165</v>
      </c>
      <c r="C532" s="37">
        <v>17</v>
      </c>
      <c r="D532" s="36">
        <f t="shared" si="21"/>
        <v>10458.7</v>
      </c>
      <c r="E532" s="36">
        <f>9137.1-273.9-185-58-58.8-39.7+58.7</f>
        <v>8580.400000000001</v>
      </c>
      <c r="F532" s="39">
        <f>5240.4-159-97.3-31.4-31.5-16.1+31.6</f>
        <v>4936.7</v>
      </c>
      <c r="G532" s="36">
        <f>1260.6+273.9+185+58+58.8-58.7+39.7</f>
        <v>1817.3</v>
      </c>
      <c r="H532" s="36">
        <v>61</v>
      </c>
      <c r="I532" s="36">
        <f>107.3+501.3+100.2</f>
        <v>708.8000000000001</v>
      </c>
      <c r="J532" s="36"/>
      <c r="K532" s="36"/>
    </row>
    <row r="533" spans="1:11" ht="15.75" customHeight="1">
      <c r="A533" s="13">
        <f t="shared" si="22"/>
        <v>529</v>
      </c>
      <c r="B533" s="34" t="s">
        <v>165</v>
      </c>
      <c r="C533" s="37">
        <v>19</v>
      </c>
      <c r="D533" s="36">
        <f t="shared" si="21"/>
        <v>6557.4</v>
      </c>
      <c r="E533" s="36">
        <v>5012.9</v>
      </c>
      <c r="F533" s="36">
        <v>2897.5</v>
      </c>
      <c r="G533" s="36">
        <v>1478.1</v>
      </c>
      <c r="H533" s="36">
        <v>66.4</v>
      </c>
      <c r="I533" s="36">
        <v>1478.1</v>
      </c>
      <c r="J533" s="36"/>
      <c r="K533" s="36"/>
    </row>
    <row r="534" spans="1:11" ht="15.75" customHeight="1">
      <c r="A534" s="13">
        <f t="shared" si="22"/>
        <v>530</v>
      </c>
      <c r="B534" s="34" t="s">
        <v>165</v>
      </c>
      <c r="C534" s="37">
        <v>21</v>
      </c>
      <c r="D534" s="36">
        <f t="shared" si="21"/>
        <v>10638.699999999999</v>
      </c>
      <c r="E534" s="36">
        <f>9368.6-85.6-89.1-54.2-50.4</f>
        <v>9089.3</v>
      </c>
      <c r="F534" s="36">
        <f>5624.3-62.4-52.6-28.5-30</f>
        <v>5450.8</v>
      </c>
      <c r="G534" s="36">
        <f>582.3+85.6+89.1+657.7+54.2+50.4</f>
        <v>1519.3000000000002</v>
      </c>
      <c r="H534" s="36">
        <f>32.2-2.1</f>
        <v>30.1</v>
      </c>
      <c r="I534" s="36">
        <f>222.4+657.7</f>
        <v>880.1</v>
      </c>
      <c r="J534" s="36"/>
      <c r="K534" s="36"/>
    </row>
    <row r="535" spans="1:11" ht="15.75" customHeight="1">
      <c r="A535" s="13">
        <f t="shared" si="22"/>
        <v>531</v>
      </c>
      <c r="B535" s="34" t="s">
        <v>165</v>
      </c>
      <c r="C535" s="26" t="s">
        <v>166</v>
      </c>
      <c r="D535" s="36">
        <f t="shared" si="21"/>
        <v>2624.9</v>
      </c>
      <c r="E535" s="26">
        <v>1397.1</v>
      </c>
      <c r="F535" s="26">
        <v>986.3</v>
      </c>
      <c r="G535" s="26">
        <v>343.4</v>
      </c>
      <c r="H535" s="26">
        <v>884.4</v>
      </c>
      <c r="I535" s="26"/>
      <c r="J535" s="26"/>
      <c r="K535" s="26"/>
    </row>
    <row r="536" spans="1:11" ht="15.75" customHeight="1">
      <c r="A536" s="13">
        <f t="shared" si="22"/>
        <v>532</v>
      </c>
      <c r="B536" s="34" t="s">
        <v>167</v>
      </c>
      <c r="C536" s="37">
        <v>2</v>
      </c>
      <c r="D536" s="36">
        <f t="shared" si="21"/>
        <v>5643.2</v>
      </c>
      <c r="E536" s="36">
        <f>4846.5-5.3-5.5</f>
        <v>4835.7</v>
      </c>
      <c r="F536" s="36">
        <v>3036.7</v>
      </c>
      <c r="G536" s="36">
        <v>690.5</v>
      </c>
      <c r="H536" s="36">
        <f>121-4</f>
        <v>117</v>
      </c>
      <c r="I536" s="36"/>
      <c r="J536" s="36"/>
      <c r="K536" s="36"/>
    </row>
    <row r="537" spans="1:11" ht="15.75" customHeight="1">
      <c r="A537" s="13">
        <f t="shared" si="22"/>
        <v>533</v>
      </c>
      <c r="B537" s="34" t="s">
        <v>167</v>
      </c>
      <c r="C537" s="37">
        <v>6</v>
      </c>
      <c r="D537" s="36">
        <f t="shared" si="21"/>
        <v>3194.9</v>
      </c>
      <c r="E537" s="36">
        <v>3147.3</v>
      </c>
      <c r="F537" s="36">
        <v>2042.1</v>
      </c>
      <c r="G537" s="36"/>
      <c r="H537" s="36">
        <v>47.6</v>
      </c>
      <c r="I537" s="36"/>
      <c r="J537" s="36"/>
      <c r="K537" s="36"/>
    </row>
    <row r="538" spans="1:11" ht="15.75" customHeight="1">
      <c r="A538" s="13">
        <f t="shared" si="22"/>
        <v>534</v>
      </c>
      <c r="B538" s="34" t="s">
        <v>167</v>
      </c>
      <c r="C538" s="37">
        <v>10</v>
      </c>
      <c r="D538" s="36">
        <f t="shared" si="21"/>
        <v>956.9</v>
      </c>
      <c r="E538" s="36">
        <v>956.9</v>
      </c>
      <c r="F538" s="36">
        <v>579.8</v>
      </c>
      <c r="G538" s="36"/>
      <c r="H538" s="36"/>
      <c r="I538" s="36"/>
      <c r="J538" s="36"/>
      <c r="K538" s="36"/>
    </row>
    <row r="539" spans="1:11" ht="15.75" customHeight="1">
      <c r="A539" s="13">
        <f t="shared" si="22"/>
        <v>535</v>
      </c>
      <c r="B539" s="34" t="s">
        <v>167</v>
      </c>
      <c r="C539" s="37">
        <v>12</v>
      </c>
      <c r="D539" s="36">
        <f t="shared" si="21"/>
        <v>976.5</v>
      </c>
      <c r="E539" s="36">
        <v>976.5</v>
      </c>
      <c r="F539" s="36">
        <v>596.6</v>
      </c>
      <c r="G539" s="36"/>
      <c r="H539" s="36"/>
      <c r="I539" s="36"/>
      <c r="J539" s="36"/>
      <c r="K539" s="36"/>
    </row>
    <row r="540" spans="1:11" ht="15.75" customHeight="1">
      <c r="A540" s="13">
        <f t="shared" si="22"/>
        <v>536</v>
      </c>
      <c r="B540" s="34" t="s">
        <v>167</v>
      </c>
      <c r="C540" s="37">
        <v>16</v>
      </c>
      <c r="D540" s="36">
        <f t="shared" si="21"/>
        <v>697.1</v>
      </c>
      <c r="E540" s="36">
        <v>656.5</v>
      </c>
      <c r="F540" s="36">
        <v>379.7</v>
      </c>
      <c r="G540" s="36"/>
      <c r="H540" s="36">
        <v>40.6</v>
      </c>
      <c r="I540" s="36"/>
      <c r="J540" s="36"/>
      <c r="K540" s="36"/>
    </row>
    <row r="541" spans="1:11" ht="15.75" customHeight="1">
      <c r="A541" s="13">
        <f t="shared" si="22"/>
        <v>537</v>
      </c>
      <c r="B541" s="34" t="s">
        <v>167</v>
      </c>
      <c r="C541" s="37">
        <v>18</v>
      </c>
      <c r="D541" s="36">
        <f t="shared" si="21"/>
        <v>704</v>
      </c>
      <c r="E541" s="36">
        <v>665.2</v>
      </c>
      <c r="F541" s="36">
        <v>391.9</v>
      </c>
      <c r="G541" s="36"/>
      <c r="H541" s="36">
        <v>38.8</v>
      </c>
      <c r="I541" s="36"/>
      <c r="J541" s="36"/>
      <c r="K541" s="36"/>
    </row>
    <row r="542" spans="1:11" ht="15.75" customHeight="1">
      <c r="A542" s="13">
        <f t="shared" si="22"/>
        <v>538</v>
      </c>
      <c r="B542" s="34" t="s">
        <v>167</v>
      </c>
      <c r="C542" s="37">
        <v>20</v>
      </c>
      <c r="D542" s="36">
        <f t="shared" si="21"/>
        <v>701.6999999999999</v>
      </c>
      <c r="E542" s="36">
        <v>661.3</v>
      </c>
      <c r="F542" s="36">
        <v>382.7</v>
      </c>
      <c r="G542" s="36"/>
      <c r="H542" s="36">
        <v>40.4</v>
      </c>
      <c r="I542" s="36"/>
      <c r="J542" s="36"/>
      <c r="K542" s="36"/>
    </row>
    <row r="543" spans="1:11" ht="15.75" customHeight="1">
      <c r="A543" s="13">
        <f t="shared" si="22"/>
        <v>539</v>
      </c>
      <c r="B543" s="34" t="s">
        <v>167</v>
      </c>
      <c r="C543" s="37">
        <v>22</v>
      </c>
      <c r="D543" s="36">
        <f t="shared" si="21"/>
        <v>709.8000000000001</v>
      </c>
      <c r="E543" s="36">
        <v>668.7</v>
      </c>
      <c r="F543" s="36">
        <v>394.8</v>
      </c>
      <c r="G543" s="36"/>
      <c r="H543" s="36">
        <v>41.1</v>
      </c>
      <c r="I543" s="36"/>
      <c r="J543" s="36"/>
      <c r="K543" s="36"/>
    </row>
    <row r="544" spans="1:11" ht="15.75" customHeight="1">
      <c r="A544" s="13">
        <f t="shared" si="22"/>
        <v>540</v>
      </c>
      <c r="B544" s="34" t="s">
        <v>167</v>
      </c>
      <c r="C544" s="37">
        <v>24</v>
      </c>
      <c r="D544" s="36">
        <f t="shared" si="21"/>
        <v>687.4</v>
      </c>
      <c r="E544" s="36">
        <v>674.5</v>
      </c>
      <c r="F544" s="36">
        <v>395.7</v>
      </c>
      <c r="G544" s="36"/>
      <c r="H544" s="36">
        <v>12.9</v>
      </c>
      <c r="I544" s="36"/>
      <c r="J544" s="36"/>
      <c r="K544" s="36"/>
    </row>
    <row r="545" spans="1:11" ht="15.75" customHeight="1">
      <c r="A545" s="13">
        <f t="shared" si="22"/>
        <v>541</v>
      </c>
      <c r="B545" s="34" t="s">
        <v>167</v>
      </c>
      <c r="C545" s="37">
        <v>26</v>
      </c>
      <c r="D545" s="36">
        <f t="shared" si="21"/>
        <v>689.9</v>
      </c>
      <c r="E545" s="36">
        <v>675.3</v>
      </c>
      <c r="F545" s="36">
        <v>391</v>
      </c>
      <c r="G545" s="36"/>
      <c r="H545" s="36">
        <v>14.6</v>
      </c>
      <c r="I545" s="36"/>
      <c r="J545" s="36"/>
      <c r="K545" s="36"/>
    </row>
    <row r="546" spans="1:11" ht="15.75" customHeight="1">
      <c r="A546" s="13">
        <f t="shared" si="22"/>
        <v>542</v>
      </c>
      <c r="B546" s="34" t="s">
        <v>167</v>
      </c>
      <c r="C546" s="37">
        <v>30</v>
      </c>
      <c r="D546" s="36">
        <f t="shared" si="21"/>
        <v>685</v>
      </c>
      <c r="E546" s="36">
        <v>670.6</v>
      </c>
      <c r="F546" s="36">
        <v>386.9</v>
      </c>
      <c r="G546" s="36"/>
      <c r="H546" s="36">
        <v>14.4</v>
      </c>
      <c r="I546" s="36"/>
      <c r="J546" s="36"/>
      <c r="K546" s="36"/>
    </row>
    <row r="547" spans="1:11" ht="15.75" customHeight="1">
      <c r="A547" s="13">
        <f t="shared" si="22"/>
        <v>543</v>
      </c>
      <c r="B547" s="34" t="s">
        <v>167</v>
      </c>
      <c r="C547" s="37" t="s">
        <v>168</v>
      </c>
      <c r="D547" s="36">
        <f t="shared" si="21"/>
        <v>970.4</v>
      </c>
      <c r="E547" s="36">
        <v>970.4</v>
      </c>
      <c r="F547" s="36">
        <v>605.9</v>
      </c>
      <c r="G547" s="36"/>
      <c r="H547" s="36"/>
      <c r="I547" s="36"/>
      <c r="J547" s="36"/>
      <c r="K547" s="36"/>
    </row>
    <row r="548" spans="1:11" ht="15.75" customHeight="1">
      <c r="A548" s="13">
        <f t="shared" si="22"/>
        <v>544</v>
      </c>
      <c r="B548" s="34" t="s">
        <v>167</v>
      </c>
      <c r="C548" s="37" t="s">
        <v>169</v>
      </c>
      <c r="D548" s="36">
        <f t="shared" si="21"/>
        <v>707.8000000000001</v>
      </c>
      <c r="E548" s="36">
        <v>668.1</v>
      </c>
      <c r="F548" s="36">
        <v>385.9</v>
      </c>
      <c r="G548" s="36"/>
      <c r="H548" s="36">
        <v>39.7</v>
      </c>
      <c r="I548" s="36"/>
      <c r="J548" s="36"/>
      <c r="K548" s="36"/>
    </row>
    <row r="549" spans="1:11" ht="15.75" customHeight="1">
      <c r="A549" s="13">
        <f t="shared" si="22"/>
        <v>545</v>
      </c>
      <c r="B549" s="34" t="s">
        <v>167</v>
      </c>
      <c r="C549" s="37" t="s">
        <v>170</v>
      </c>
      <c r="D549" s="36">
        <f t="shared" si="21"/>
        <v>689</v>
      </c>
      <c r="E549" s="36">
        <v>674.2</v>
      </c>
      <c r="F549" s="36">
        <v>388.9</v>
      </c>
      <c r="G549" s="36"/>
      <c r="H549" s="36">
        <v>14.8</v>
      </c>
      <c r="I549" s="36"/>
      <c r="J549" s="36"/>
      <c r="K549" s="36"/>
    </row>
    <row r="550" spans="1:11" ht="15.75" customHeight="1">
      <c r="A550" s="13">
        <f t="shared" si="22"/>
        <v>546</v>
      </c>
      <c r="B550" s="34" t="s">
        <v>167</v>
      </c>
      <c r="C550" s="37" t="s">
        <v>171</v>
      </c>
      <c r="D550" s="36">
        <f t="shared" si="21"/>
        <v>1003.9</v>
      </c>
      <c r="E550" s="36">
        <v>992.1</v>
      </c>
      <c r="F550" s="36">
        <v>577.6</v>
      </c>
      <c r="G550" s="36"/>
      <c r="H550" s="36">
        <v>11.8</v>
      </c>
      <c r="I550" s="36"/>
      <c r="J550" s="36"/>
      <c r="K550" s="36"/>
    </row>
    <row r="551" spans="1:11" ht="15.75" customHeight="1">
      <c r="A551" s="13">
        <f t="shared" si="22"/>
        <v>547</v>
      </c>
      <c r="B551" s="34" t="s">
        <v>153</v>
      </c>
      <c r="C551" s="37">
        <v>5</v>
      </c>
      <c r="D551" s="36">
        <f t="shared" si="21"/>
        <v>2087.3</v>
      </c>
      <c r="E551" s="36">
        <v>2026</v>
      </c>
      <c r="F551" s="36">
        <v>1352.6</v>
      </c>
      <c r="G551" s="36"/>
      <c r="H551" s="36">
        <v>61.3</v>
      </c>
      <c r="I551" s="36"/>
      <c r="J551" s="36"/>
      <c r="K551" s="36"/>
    </row>
    <row r="552" spans="1:11" ht="15.75" customHeight="1">
      <c r="A552" s="13">
        <f t="shared" si="22"/>
        <v>548</v>
      </c>
      <c r="B552" s="34" t="s">
        <v>153</v>
      </c>
      <c r="C552" s="15">
        <v>6</v>
      </c>
      <c r="D552" s="16">
        <f t="shared" si="21"/>
        <v>4621.5</v>
      </c>
      <c r="E552" s="18">
        <v>2156.1</v>
      </c>
      <c r="F552" s="13">
        <v>1655.6</v>
      </c>
      <c r="G552" s="18">
        <v>2235</v>
      </c>
      <c r="H552" s="13">
        <v>230.4</v>
      </c>
      <c r="I552" s="13"/>
      <c r="J552" s="18"/>
      <c r="K552" s="18"/>
    </row>
    <row r="553" spans="1:11" ht="15.75" customHeight="1">
      <c r="A553" s="13">
        <f t="shared" si="22"/>
        <v>549</v>
      </c>
      <c r="B553" s="34" t="s">
        <v>153</v>
      </c>
      <c r="C553" s="37">
        <v>13</v>
      </c>
      <c r="D553" s="36">
        <f t="shared" si="21"/>
        <v>1608.4</v>
      </c>
      <c r="E553" s="36">
        <f>1608.4-50.9</f>
        <v>1557.5</v>
      </c>
      <c r="F553" s="36">
        <v>1039.6</v>
      </c>
      <c r="G553" s="36"/>
      <c r="H553" s="36">
        <v>50.9</v>
      </c>
      <c r="I553" s="36"/>
      <c r="J553" s="36"/>
      <c r="K553" s="36"/>
    </row>
    <row r="554" spans="1:11" ht="15.75" customHeight="1">
      <c r="A554" s="13">
        <f t="shared" si="22"/>
        <v>550</v>
      </c>
      <c r="B554" s="34" t="s">
        <v>153</v>
      </c>
      <c r="C554" s="37">
        <v>15</v>
      </c>
      <c r="D554" s="36">
        <f t="shared" si="21"/>
        <v>3231.8999999999996</v>
      </c>
      <c r="E554" s="36">
        <f>3158.9-31.3</f>
        <v>3127.6</v>
      </c>
      <c r="F554" s="36">
        <f>1319.6-18.3</f>
        <v>1301.3</v>
      </c>
      <c r="G554" s="36">
        <f>31.3+31.3</f>
        <v>62.6</v>
      </c>
      <c r="H554" s="36">
        <v>41.7</v>
      </c>
      <c r="I554" s="36"/>
      <c r="J554" s="36"/>
      <c r="K554" s="36"/>
    </row>
    <row r="555" spans="1:11" ht="15.75" customHeight="1">
      <c r="A555" s="13">
        <f t="shared" si="22"/>
        <v>551</v>
      </c>
      <c r="B555" s="34" t="s">
        <v>153</v>
      </c>
      <c r="C555" s="37">
        <v>16</v>
      </c>
      <c r="D555" s="36">
        <f t="shared" si="21"/>
        <v>2684.6</v>
      </c>
      <c r="E555" s="36">
        <v>2004.2</v>
      </c>
      <c r="F555" s="36">
        <v>1338.4</v>
      </c>
      <c r="G555" s="36">
        <v>635.9</v>
      </c>
      <c r="H555" s="36">
        <v>44.5</v>
      </c>
      <c r="I555" s="36">
        <v>633.3</v>
      </c>
      <c r="J555" s="36"/>
      <c r="K555" s="36"/>
    </row>
    <row r="556" spans="1:11" ht="15.75" customHeight="1">
      <c r="A556" s="13">
        <f t="shared" si="22"/>
        <v>552</v>
      </c>
      <c r="B556" s="34" t="s">
        <v>172</v>
      </c>
      <c r="C556" s="37">
        <v>8</v>
      </c>
      <c r="D556" s="36">
        <f t="shared" si="21"/>
        <v>77.2</v>
      </c>
      <c r="E556" s="36">
        <f>126.7-49.5</f>
        <v>77.2</v>
      </c>
      <c r="F556" s="36">
        <f>95.3-51.3</f>
        <v>44</v>
      </c>
      <c r="G556" s="36"/>
      <c r="H556" s="36"/>
      <c r="I556" s="36"/>
      <c r="J556" s="36"/>
      <c r="K556" s="36"/>
    </row>
    <row r="557" spans="1:11" ht="15.75" customHeight="1">
      <c r="A557" s="13">
        <f t="shared" si="22"/>
        <v>553</v>
      </c>
      <c r="B557" s="34" t="s">
        <v>172</v>
      </c>
      <c r="C557" s="37">
        <v>10</v>
      </c>
      <c r="D557" s="36">
        <f t="shared" si="21"/>
        <v>106.9</v>
      </c>
      <c r="E557" s="36">
        <v>106.9</v>
      </c>
      <c r="F557" s="36">
        <v>73.9</v>
      </c>
      <c r="G557" s="36"/>
      <c r="H557" s="36"/>
      <c r="I557" s="36"/>
      <c r="J557" s="36"/>
      <c r="K557" s="36"/>
    </row>
    <row r="558" spans="1:11" ht="15.75" customHeight="1">
      <c r="A558" s="13">
        <f t="shared" si="22"/>
        <v>554</v>
      </c>
      <c r="B558" s="34" t="s">
        <v>172</v>
      </c>
      <c r="C558" s="37">
        <v>12</v>
      </c>
      <c r="D558" s="36">
        <f t="shared" si="21"/>
        <v>123.6</v>
      </c>
      <c r="E558" s="36">
        <v>123.6</v>
      </c>
      <c r="F558" s="36">
        <v>91.3</v>
      </c>
      <c r="G558" s="36"/>
      <c r="H558" s="36"/>
      <c r="I558" s="36"/>
      <c r="J558" s="36"/>
      <c r="K558" s="36"/>
    </row>
    <row r="559" spans="1:11" ht="15.75" customHeight="1">
      <c r="A559" s="13">
        <f t="shared" si="22"/>
        <v>555</v>
      </c>
      <c r="B559" s="34" t="s">
        <v>172</v>
      </c>
      <c r="C559" s="37" t="s">
        <v>127</v>
      </c>
      <c r="D559" s="36">
        <f t="shared" si="21"/>
        <v>119</v>
      </c>
      <c r="E559" s="36">
        <v>119</v>
      </c>
      <c r="F559" s="36">
        <v>78.6</v>
      </c>
      <c r="G559" s="36"/>
      <c r="H559" s="36"/>
      <c r="I559" s="36"/>
      <c r="J559" s="36"/>
      <c r="K559" s="36"/>
    </row>
    <row r="560" spans="1:11" ht="15.75" customHeight="1">
      <c r="A560" s="13">
        <f t="shared" si="22"/>
        <v>556</v>
      </c>
      <c r="B560" s="34" t="s">
        <v>173</v>
      </c>
      <c r="C560" s="37">
        <v>4</v>
      </c>
      <c r="D560" s="36">
        <f t="shared" si="21"/>
        <v>93.8</v>
      </c>
      <c r="E560" s="36">
        <v>93.8</v>
      </c>
      <c r="F560" s="36">
        <v>68.3</v>
      </c>
      <c r="G560" s="36"/>
      <c r="H560" s="36"/>
      <c r="I560" s="36"/>
      <c r="J560" s="36"/>
      <c r="K560" s="36"/>
    </row>
    <row r="561" spans="1:11" ht="15.75" customHeight="1">
      <c r="A561" s="13">
        <f t="shared" si="22"/>
        <v>557</v>
      </c>
      <c r="B561" s="34" t="s">
        <v>173</v>
      </c>
      <c r="C561" s="37">
        <v>6</v>
      </c>
      <c r="D561" s="36">
        <f t="shared" si="21"/>
        <v>69.1</v>
      </c>
      <c r="E561" s="36">
        <v>69.1</v>
      </c>
      <c r="F561" s="36">
        <v>50.4</v>
      </c>
      <c r="G561" s="36"/>
      <c r="H561" s="36"/>
      <c r="I561" s="36"/>
      <c r="J561" s="36"/>
      <c r="K561" s="36"/>
    </row>
    <row r="562" spans="1:11" ht="15.75" customHeight="1">
      <c r="A562" s="13">
        <f t="shared" si="22"/>
        <v>558</v>
      </c>
      <c r="B562" s="34" t="s">
        <v>173</v>
      </c>
      <c r="C562" s="37">
        <v>8</v>
      </c>
      <c r="D562" s="36">
        <f t="shared" si="21"/>
        <v>69.5</v>
      </c>
      <c r="E562" s="36">
        <v>69.5</v>
      </c>
      <c r="F562" s="36">
        <v>51.3</v>
      </c>
      <c r="G562" s="36"/>
      <c r="H562" s="36"/>
      <c r="I562" s="36"/>
      <c r="J562" s="36"/>
      <c r="K562" s="36"/>
    </row>
    <row r="563" spans="1:11" ht="15.75" customHeight="1">
      <c r="A563" s="13">
        <f t="shared" si="22"/>
        <v>559</v>
      </c>
      <c r="B563" s="34" t="s">
        <v>173</v>
      </c>
      <c r="C563" s="37">
        <v>10</v>
      </c>
      <c r="D563" s="36">
        <f t="shared" si="21"/>
        <v>67.1</v>
      </c>
      <c r="E563" s="36">
        <v>67.1</v>
      </c>
      <c r="F563" s="36">
        <v>50.4</v>
      </c>
      <c r="G563" s="36"/>
      <c r="H563" s="36"/>
      <c r="I563" s="36"/>
      <c r="J563" s="36"/>
      <c r="K563" s="36"/>
    </row>
    <row r="564" spans="1:11" ht="15.75" customHeight="1">
      <c r="A564" s="13">
        <f t="shared" si="22"/>
        <v>560</v>
      </c>
      <c r="B564" s="34" t="s">
        <v>173</v>
      </c>
      <c r="C564" s="37">
        <v>12</v>
      </c>
      <c r="D564" s="36">
        <f t="shared" si="21"/>
        <v>71.6</v>
      </c>
      <c r="E564" s="36">
        <v>71.6</v>
      </c>
      <c r="F564" s="36">
        <v>53.4</v>
      </c>
      <c r="G564" s="36"/>
      <c r="H564" s="36"/>
      <c r="I564" s="36"/>
      <c r="J564" s="36"/>
      <c r="K564" s="36"/>
    </row>
    <row r="565" spans="1:11" ht="15.75" customHeight="1">
      <c r="A565" s="13">
        <f t="shared" si="22"/>
        <v>561</v>
      </c>
      <c r="B565" s="34" t="s">
        <v>173</v>
      </c>
      <c r="C565" s="37">
        <v>14</v>
      </c>
      <c r="D565" s="36">
        <f t="shared" si="21"/>
        <v>69</v>
      </c>
      <c r="E565" s="36">
        <v>69</v>
      </c>
      <c r="F565" s="36">
        <v>51.4</v>
      </c>
      <c r="G565" s="36"/>
      <c r="H565" s="36"/>
      <c r="I565" s="36"/>
      <c r="J565" s="36"/>
      <c r="K565" s="36"/>
    </row>
    <row r="566" spans="1:11" ht="15.75" customHeight="1">
      <c r="A566" s="13">
        <f t="shared" si="22"/>
        <v>562</v>
      </c>
      <c r="B566" s="34" t="s">
        <v>174</v>
      </c>
      <c r="C566" s="37">
        <v>3</v>
      </c>
      <c r="D566" s="36">
        <f t="shared" si="21"/>
        <v>70.5</v>
      </c>
      <c r="E566" s="36">
        <v>70.5</v>
      </c>
      <c r="F566" s="36">
        <v>52.5</v>
      </c>
      <c r="G566" s="36"/>
      <c r="H566" s="36"/>
      <c r="I566" s="36"/>
      <c r="J566" s="36"/>
      <c r="K566" s="36"/>
    </row>
    <row r="567" spans="1:11" ht="15.75" customHeight="1">
      <c r="A567" s="13">
        <f t="shared" si="22"/>
        <v>563</v>
      </c>
      <c r="B567" s="34" t="s">
        <v>174</v>
      </c>
      <c r="C567" s="37">
        <v>5</v>
      </c>
      <c r="D567" s="36">
        <f t="shared" si="21"/>
        <v>69.3</v>
      </c>
      <c r="E567" s="36">
        <v>69.3</v>
      </c>
      <c r="F567" s="36">
        <v>51</v>
      </c>
      <c r="G567" s="36"/>
      <c r="H567" s="36"/>
      <c r="I567" s="36"/>
      <c r="J567" s="36"/>
      <c r="K567" s="36"/>
    </row>
    <row r="568" spans="1:11" ht="15.75" customHeight="1">
      <c r="A568" s="13">
        <f t="shared" si="22"/>
        <v>564</v>
      </c>
      <c r="B568" s="34" t="s">
        <v>174</v>
      </c>
      <c r="C568" s="37">
        <v>7</v>
      </c>
      <c r="D568" s="36">
        <f t="shared" si="21"/>
        <v>89</v>
      </c>
      <c r="E568" s="36">
        <v>89</v>
      </c>
      <c r="F568" s="36">
        <v>62</v>
      </c>
      <c r="G568" s="36"/>
      <c r="H568" s="36"/>
      <c r="I568" s="36"/>
      <c r="J568" s="36"/>
      <c r="K568" s="36"/>
    </row>
    <row r="569" spans="1:11" ht="15.75" customHeight="1">
      <c r="A569" s="13">
        <f t="shared" si="22"/>
        <v>565</v>
      </c>
      <c r="B569" s="34" t="s">
        <v>174</v>
      </c>
      <c r="C569" s="37">
        <v>9</v>
      </c>
      <c r="D569" s="36">
        <f t="shared" si="21"/>
        <v>70.4</v>
      </c>
      <c r="E569" s="36">
        <v>70.4</v>
      </c>
      <c r="F569" s="36">
        <v>52.1</v>
      </c>
      <c r="G569" s="36"/>
      <c r="H569" s="36"/>
      <c r="I569" s="36"/>
      <c r="J569" s="36"/>
      <c r="K569" s="36"/>
    </row>
    <row r="570" spans="1:11" ht="15.75" customHeight="1">
      <c r="A570" s="13">
        <f t="shared" si="22"/>
        <v>566</v>
      </c>
      <c r="B570" s="34" t="s">
        <v>174</v>
      </c>
      <c r="C570" s="37">
        <v>11</v>
      </c>
      <c r="D570" s="36">
        <f t="shared" si="21"/>
        <v>69.8</v>
      </c>
      <c r="E570" s="36">
        <v>69.8</v>
      </c>
      <c r="F570" s="36">
        <v>51.8</v>
      </c>
      <c r="G570" s="36"/>
      <c r="H570" s="36"/>
      <c r="I570" s="36"/>
      <c r="J570" s="36"/>
      <c r="K570" s="36"/>
    </row>
    <row r="571" spans="1:11" ht="15.75" customHeight="1">
      <c r="A571" s="13">
        <f t="shared" si="22"/>
        <v>567</v>
      </c>
      <c r="B571" s="34" t="s">
        <v>174</v>
      </c>
      <c r="C571" s="37">
        <v>13</v>
      </c>
      <c r="D571" s="36">
        <f t="shared" si="21"/>
        <v>73.4</v>
      </c>
      <c r="E571" s="36">
        <v>73.4</v>
      </c>
      <c r="F571" s="36">
        <v>54.4</v>
      </c>
      <c r="G571" s="36"/>
      <c r="H571" s="36"/>
      <c r="I571" s="36"/>
      <c r="J571" s="36"/>
      <c r="K571" s="36"/>
    </row>
    <row r="572" spans="1:11" ht="15.75" customHeight="1">
      <c r="A572" s="13">
        <f t="shared" si="22"/>
        <v>568</v>
      </c>
      <c r="B572" s="34" t="s">
        <v>174</v>
      </c>
      <c r="C572" s="37">
        <v>15</v>
      </c>
      <c r="D572" s="36">
        <f t="shared" si="21"/>
        <v>70.8</v>
      </c>
      <c r="E572" s="36">
        <v>70.8</v>
      </c>
      <c r="F572" s="36">
        <v>51.8</v>
      </c>
      <c r="G572" s="36"/>
      <c r="H572" s="36"/>
      <c r="I572" s="36"/>
      <c r="J572" s="36"/>
      <c r="K572" s="36"/>
    </row>
    <row r="573" spans="1:11" ht="15.75" customHeight="1">
      <c r="A573" s="13">
        <f t="shared" si="22"/>
        <v>569</v>
      </c>
      <c r="B573" s="34" t="s">
        <v>174</v>
      </c>
      <c r="C573" s="37">
        <v>17</v>
      </c>
      <c r="D573" s="36">
        <f t="shared" si="21"/>
        <v>69.2</v>
      </c>
      <c r="E573" s="36">
        <v>69.2</v>
      </c>
      <c r="F573" s="36">
        <v>50.2</v>
      </c>
      <c r="G573" s="36"/>
      <c r="H573" s="36"/>
      <c r="I573" s="36"/>
      <c r="J573" s="36"/>
      <c r="K573" s="36"/>
    </row>
    <row r="574" spans="1:11" ht="15.75" customHeight="1">
      <c r="A574" s="13">
        <f t="shared" si="22"/>
        <v>570</v>
      </c>
      <c r="B574" s="34" t="s">
        <v>175</v>
      </c>
      <c r="C574" s="37">
        <v>47</v>
      </c>
      <c r="D574" s="36">
        <f t="shared" si="21"/>
        <v>2172.9</v>
      </c>
      <c r="E574" s="36">
        <v>1670.4</v>
      </c>
      <c r="F574" s="36">
        <v>1019.3</v>
      </c>
      <c r="G574" s="36">
        <v>498</v>
      </c>
      <c r="H574" s="36">
        <v>4.5</v>
      </c>
      <c r="I574" s="36"/>
      <c r="J574" s="36"/>
      <c r="K574" s="36"/>
    </row>
    <row r="575" spans="1:11" ht="15.75" customHeight="1">
      <c r="A575" s="13">
        <f t="shared" si="22"/>
        <v>571</v>
      </c>
      <c r="B575" s="34" t="s">
        <v>175</v>
      </c>
      <c r="C575" s="37">
        <v>49</v>
      </c>
      <c r="D575" s="36">
        <f t="shared" si="21"/>
        <v>475.8</v>
      </c>
      <c r="E575" s="36">
        <v>475.8</v>
      </c>
      <c r="F575" s="36">
        <v>292.6</v>
      </c>
      <c r="G575" s="36"/>
      <c r="H575" s="36"/>
      <c r="I575" s="36"/>
      <c r="J575" s="36"/>
      <c r="K575" s="36"/>
    </row>
    <row r="576" spans="1:11" ht="15.75" customHeight="1">
      <c r="A576" s="13">
        <f t="shared" si="22"/>
        <v>572</v>
      </c>
      <c r="B576" s="34" t="s">
        <v>175</v>
      </c>
      <c r="C576" s="37">
        <v>51</v>
      </c>
      <c r="D576" s="36">
        <f t="shared" si="21"/>
        <v>480.7</v>
      </c>
      <c r="E576" s="36">
        <v>480.7</v>
      </c>
      <c r="F576" s="36">
        <v>305.8</v>
      </c>
      <c r="G576" s="36"/>
      <c r="H576" s="36"/>
      <c r="I576" s="36"/>
      <c r="J576" s="36"/>
      <c r="K576" s="36"/>
    </row>
    <row r="577" spans="1:11" ht="15.75" customHeight="1">
      <c r="A577" s="13">
        <f t="shared" si="22"/>
        <v>573</v>
      </c>
      <c r="B577" s="34" t="s">
        <v>175</v>
      </c>
      <c r="C577" s="37">
        <v>55</v>
      </c>
      <c r="D577" s="36">
        <f t="shared" si="21"/>
        <v>471.6</v>
      </c>
      <c r="E577" s="36">
        <v>471.6</v>
      </c>
      <c r="F577" s="36">
        <v>290.7</v>
      </c>
      <c r="G577" s="36"/>
      <c r="H577" s="36"/>
      <c r="I577" s="36"/>
      <c r="J577" s="36"/>
      <c r="K577" s="36"/>
    </row>
    <row r="578" spans="1:11" ht="15.75" customHeight="1">
      <c r="A578" s="13">
        <f t="shared" si="22"/>
        <v>574</v>
      </c>
      <c r="B578" s="34" t="s">
        <v>175</v>
      </c>
      <c r="C578" s="37">
        <v>65</v>
      </c>
      <c r="D578" s="36">
        <f aca="true" t="shared" si="23" ref="D578:D641">E578+G578+H578</f>
        <v>457.7</v>
      </c>
      <c r="E578" s="36">
        <v>457.7</v>
      </c>
      <c r="F578" s="36">
        <v>330.1</v>
      </c>
      <c r="G578" s="36"/>
      <c r="H578" s="36"/>
      <c r="I578" s="36"/>
      <c r="J578" s="36"/>
      <c r="K578" s="36"/>
    </row>
    <row r="579" spans="1:11" ht="15.75" customHeight="1">
      <c r="A579" s="13">
        <f t="shared" si="22"/>
        <v>575</v>
      </c>
      <c r="B579" s="34" t="s">
        <v>175</v>
      </c>
      <c r="C579" s="37">
        <v>67</v>
      </c>
      <c r="D579" s="36">
        <f t="shared" si="23"/>
        <v>483.7</v>
      </c>
      <c r="E579" s="36">
        <v>483.7</v>
      </c>
      <c r="F579" s="36">
        <v>305.7</v>
      </c>
      <c r="G579" s="36"/>
      <c r="H579" s="36"/>
      <c r="I579" s="36"/>
      <c r="J579" s="36"/>
      <c r="K579" s="36"/>
    </row>
    <row r="580" spans="1:11" ht="15.75" customHeight="1">
      <c r="A580" s="13">
        <f t="shared" si="22"/>
        <v>576</v>
      </c>
      <c r="B580" s="34" t="s">
        <v>175</v>
      </c>
      <c r="C580" s="37">
        <v>69</v>
      </c>
      <c r="D580" s="36">
        <f t="shared" si="23"/>
        <v>460.5</v>
      </c>
      <c r="E580" s="36">
        <v>460.5</v>
      </c>
      <c r="F580" s="36">
        <v>330.1</v>
      </c>
      <c r="G580" s="36"/>
      <c r="H580" s="36"/>
      <c r="I580" s="36"/>
      <c r="J580" s="36"/>
      <c r="K580" s="36"/>
    </row>
    <row r="581" spans="1:11" ht="15.75" customHeight="1">
      <c r="A581" s="13">
        <f t="shared" si="22"/>
        <v>577</v>
      </c>
      <c r="B581" s="34" t="s">
        <v>175</v>
      </c>
      <c r="C581" s="37">
        <v>71</v>
      </c>
      <c r="D581" s="36">
        <f t="shared" si="23"/>
        <v>531.3</v>
      </c>
      <c r="E581" s="36">
        <v>469.3</v>
      </c>
      <c r="F581" s="36">
        <v>293.8</v>
      </c>
      <c r="G581" s="36">
        <v>62</v>
      </c>
      <c r="H581" s="36"/>
      <c r="I581" s="36"/>
      <c r="J581" s="36"/>
      <c r="K581" s="36"/>
    </row>
    <row r="582" spans="1:11" ht="15.75" customHeight="1">
      <c r="A582" s="13">
        <f aca="true" t="shared" si="24" ref="A582:A645">A581+1</f>
        <v>578</v>
      </c>
      <c r="B582" s="34" t="s">
        <v>155</v>
      </c>
      <c r="C582" s="37">
        <v>1</v>
      </c>
      <c r="D582" s="36">
        <f t="shared" si="23"/>
        <v>1675.8000000000002</v>
      </c>
      <c r="E582" s="36">
        <v>1554.4</v>
      </c>
      <c r="F582" s="36">
        <v>1015.6</v>
      </c>
      <c r="G582" s="36">
        <v>74.5</v>
      </c>
      <c r="H582" s="36">
        <v>46.9</v>
      </c>
      <c r="I582" s="36"/>
      <c r="J582" s="36"/>
      <c r="K582" s="36"/>
    </row>
    <row r="583" spans="1:11" ht="15.75" customHeight="1">
      <c r="A583" s="13">
        <f t="shared" si="24"/>
        <v>579</v>
      </c>
      <c r="B583" s="34" t="s">
        <v>176</v>
      </c>
      <c r="C583" s="37">
        <v>2</v>
      </c>
      <c r="D583" s="36">
        <f t="shared" si="23"/>
        <v>109.8</v>
      </c>
      <c r="E583" s="36">
        <v>109.8</v>
      </c>
      <c r="F583" s="36">
        <v>81.6</v>
      </c>
      <c r="G583" s="36"/>
      <c r="H583" s="36"/>
      <c r="I583" s="36"/>
      <c r="J583" s="36"/>
      <c r="K583" s="36"/>
    </row>
    <row r="584" spans="1:11" ht="15.75" customHeight="1">
      <c r="A584" s="13">
        <f t="shared" si="24"/>
        <v>580</v>
      </c>
      <c r="B584" s="34" t="s">
        <v>176</v>
      </c>
      <c r="C584" s="37">
        <v>9</v>
      </c>
      <c r="D584" s="36">
        <f t="shared" si="23"/>
        <v>120.3</v>
      </c>
      <c r="E584" s="36">
        <v>120.3</v>
      </c>
      <c r="F584" s="36">
        <v>71.1</v>
      </c>
      <c r="G584" s="36"/>
      <c r="H584" s="36"/>
      <c r="I584" s="36"/>
      <c r="J584" s="36"/>
      <c r="K584" s="36"/>
    </row>
    <row r="585" spans="1:11" ht="15.75" customHeight="1">
      <c r="A585" s="13">
        <f t="shared" si="24"/>
        <v>581</v>
      </c>
      <c r="B585" s="34" t="s">
        <v>176</v>
      </c>
      <c r="C585" s="37">
        <v>10</v>
      </c>
      <c r="D585" s="36">
        <f t="shared" si="23"/>
        <v>118.3</v>
      </c>
      <c r="E585" s="36">
        <f>119.1-0.8</f>
        <v>118.3</v>
      </c>
      <c r="F585" s="36">
        <f>82.8-6.2</f>
        <v>76.6</v>
      </c>
      <c r="G585" s="36"/>
      <c r="H585" s="36"/>
      <c r="I585" s="36"/>
      <c r="J585" s="36"/>
      <c r="K585" s="36"/>
    </row>
    <row r="586" spans="1:11" ht="15.75" customHeight="1">
      <c r="A586" s="13">
        <f t="shared" si="24"/>
        <v>582</v>
      </c>
      <c r="B586" s="34" t="s">
        <v>176</v>
      </c>
      <c r="C586" s="37">
        <v>12</v>
      </c>
      <c r="D586" s="36">
        <f t="shared" si="23"/>
        <v>113.8</v>
      </c>
      <c r="E586" s="36">
        <v>113.8</v>
      </c>
      <c r="F586" s="36">
        <v>82.8</v>
      </c>
      <c r="G586" s="36"/>
      <c r="H586" s="36"/>
      <c r="I586" s="36"/>
      <c r="J586" s="36"/>
      <c r="K586" s="36"/>
    </row>
    <row r="587" spans="1:11" ht="15.75" customHeight="1">
      <c r="A587" s="13">
        <f t="shared" si="24"/>
        <v>583</v>
      </c>
      <c r="B587" s="40" t="s">
        <v>221</v>
      </c>
      <c r="C587" s="37">
        <v>20</v>
      </c>
      <c r="D587" s="36">
        <f t="shared" si="23"/>
        <v>58</v>
      </c>
      <c r="E587" s="36">
        <v>58</v>
      </c>
      <c r="F587" s="36">
        <v>46.6</v>
      </c>
      <c r="G587" s="36"/>
      <c r="H587" s="36"/>
      <c r="I587" s="36"/>
      <c r="J587" s="36"/>
      <c r="K587" s="36"/>
    </row>
    <row r="588" spans="1:11" ht="15.75" customHeight="1">
      <c r="A588" s="13">
        <f t="shared" si="24"/>
        <v>584</v>
      </c>
      <c r="B588" s="34" t="s">
        <v>157</v>
      </c>
      <c r="C588" s="37">
        <v>3</v>
      </c>
      <c r="D588" s="36">
        <f t="shared" si="23"/>
        <v>5537.7</v>
      </c>
      <c r="E588" s="36">
        <v>4443</v>
      </c>
      <c r="F588" s="36">
        <v>2984.6</v>
      </c>
      <c r="G588" s="36">
        <v>1094.7</v>
      </c>
      <c r="H588" s="36"/>
      <c r="I588" s="36"/>
      <c r="J588" s="36"/>
      <c r="K588" s="36"/>
    </row>
    <row r="589" spans="1:11" ht="15.75" customHeight="1">
      <c r="A589" s="13">
        <f t="shared" si="24"/>
        <v>585</v>
      </c>
      <c r="B589" s="34" t="s">
        <v>177</v>
      </c>
      <c r="C589" s="37">
        <v>1</v>
      </c>
      <c r="D589" s="36">
        <f t="shared" si="23"/>
        <v>3382.2999999999997</v>
      </c>
      <c r="E589" s="36">
        <v>3345.2</v>
      </c>
      <c r="F589" s="36">
        <v>2101.7</v>
      </c>
      <c r="G589" s="36"/>
      <c r="H589" s="36">
        <v>37.1</v>
      </c>
      <c r="I589" s="36"/>
      <c r="J589" s="36"/>
      <c r="K589" s="36"/>
    </row>
    <row r="590" spans="1:11" ht="15.75" customHeight="1">
      <c r="A590" s="13">
        <f t="shared" si="24"/>
        <v>586</v>
      </c>
      <c r="B590" s="34" t="s">
        <v>177</v>
      </c>
      <c r="C590" s="37">
        <v>2</v>
      </c>
      <c r="D590" s="36">
        <f t="shared" si="23"/>
        <v>3432.2</v>
      </c>
      <c r="E590" s="36">
        <v>3432.2</v>
      </c>
      <c r="F590" s="36">
        <v>2580</v>
      </c>
      <c r="G590" s="36"/>
      <c r="H590" s="36"/>
      <c r="I590" s="36"/>
      <c r="J590" s="36"/>
      <c r="K590" s="36"/>
    </row>
    <row r="591" spans="1:11" ht="15.75" customHeight="1">
      <c r="A591" s="13">
        <f t="shared" si="24"/>
        <v>587</v>
      </c>
      <c r="B591" s="34" t="s">
        <v>177</v>
      </c>
      <c r="C591" s="37">
        <v>3</v>
      </c>
      <c r="D591" s="36">
        <f t="shared" si="23"/>
        <v>3446.5</v>
      </c>
      <c r="E591" s="36">
        <v>3446.5</v>
      </c>
      <c r="F591" s="36">
        <v>2053</v>
      </c>
      <c r="G591" s="36"/>
      <c r="H591" s="36"/>
      <c r="I591" s="36"/>
      <c r="J591" s="36"/>
      <c r="K591" s="36"/>
    </row>
    <row r="592" spans="1:11" ht="15.75" customHeight="1">
      <c r="A592" s="13">
        <f t="shared" si="24"/>
        <v>588</v>
      </c>
      <c r="B592" s="34" t="s">
        <v>177</v>
      </c>
      <c r="C592" s="37">
        <v>4</v>
      </c>
      <c r="D592" s="36">
        <f t="shared" si="23"/>
        <v>3473.1</v>
      </c>
      <c r="E592" s="36">
        <v>3473.1</v>
      </c>
      <c r="F592" s="36">
        <v>2084.8</v>
      </c>
      <c r="G592" s="36"/>
      <c r="H592" s="36"/>
      <c r="I592" s="36"/>
      <c r="J592" s="36"/>
      <c r="K592" s="36"/>
    </row>
    <row r="593" spans="1:11" ht="15.75" customHeight="1">
      <c r="A593" s="13">
        <f t="shared" si="24"/>
        <v>589</v>
      </c>
      <c r="B593" s="34" t="s">
        <v>177</v>
      </c>
      <c r="C593" s="26">
        <v>5</v>
      </c>
      <c r="D593" s="36">
        <f t="shared" si="23"/>
        <v>4206.099999999999</v>
      </c>
      <c r="E593" s="26">
        <v>2984.1</v>
      </c>
      <c r="F593" s="26">
        <v>2054.1</v>
      </c>
      <c r="G593" s="26">
        <v>840.3</v>
      </c>
      <c r="H593" s="26">
        <v>381.7</v>
      </c>
      <c r="I593" s="26">
        <f>144+316.8+41.6</f>
        <v>502.40000000000003</v>
      </c>
      <c r="J593" s="26"/>
      <c r="K593" s="26"/>
    </row>
    <row r="594" spans="1:11" ht="15.75" customHeight="1">
      <c r="A594" s="13">
        <f t="shared" si="24"/>
        <v>590</v>
      </c>
      <c r="B594" s="34" t="s">
        <v>178</v>
      </c>
      <c r="C594" s="37">
        <v>10</v>
      </c>
      <c r="D594" s="36">
        <f t="shared" si="23"/>
        <v>2140.3</v>
      </c>
      <c r="E594" s="36">
        <f>2005.9-40.9-86.4-127.6-73.1-31.8</f>
        <v>1646.1000000000001</v>
      </c>
      <c r="F594" s="36">
        <f>1321.7-26.6-59.5-87.2-42.1-15.1</f>
        <v>1091.2000000000003</v>
      </c>
      <c r="G594" s="36">
        <f>40.9+86.4+127.6+73.1+31.8</f>
        <v>359.8</v>
      </c>
      <c r="H594" s="36">
        <v>134.4</v>
      </c>
      <c r="I594" s="36"/>
      <c r="J594" s="36"/>
      <c r="K594" s="36"/>
    </row>
    <row r="595" spans="1:11" ht="15.75" customHeight="1">
      <c r="A595" s="13">
        <f t="shared" si="24"/>
        <v>591</v>
      </c>
      <c r="B595" s="34" t="s">
        <v>178</v>
      </c>
      <c r="C595" s="37">
        <v>32</v>
      </c>
      <c r="D595" s="36">
        <f t="shared" si="23"/>
        <v>7913.8</v>
      </c>
      <c r="E595" s="36">
        <f>7573.4-5.8-9.2-3.4-7.4-0.7-1.9-4.7-4.8-4.7-5.1-5-7.3-2.1-4.2</f>
        <v>7507.1</v>
      </c>
      <c r="F595" s="36">
        <v>4156.2</v>
      </c>
      <c r="G595" s="36">
        <f>406.7-200.3</f>
        <v>206.39999999999998</v>
      </c>
      <c r="H595" s="36">
        <v>200.3</v>
      </c>
      <c r="I595" s="36"/>
      <c r="J595" s="36"/>
      <c r="K595" s="36"/>
    </row>
    <row r="596" spans="1:11" ht="15.75" customHeight="1">
      <c r="A596" s="13">
        <f t="shared" si="24"/>
        <v>592</v>
      </c>
      <c r="B596" s="34" t="s">
        <v>179</v>
      </c>
      <c r="C596" s="37">
        <v>22</v>
      </c>
      <c r="D596" s="36">
        <f t="shared" si="23"/>
        <v>3685.3</v>
      </c>
      <c r="E596" s="36">
        <f>3219.6-61+12.8-29.2</f>
        <v>3142.2000000000003</v>
      </c>
      <c r="F596" s="36">
        <f>2130.8-16.7</f>
        <v>2114.1000000000004</v>
      </c>
      <c r="G596" s="36">
        <f>452.9+12.1-12.1+29.2</f>
        <v>482.09999999999997</v>
      </c>
      <c r="H596" s="36">
        <v>61</v>
      </c>
      <c r="I596" s="36">
        <f>137.2+333.6</f>
        <v>470.8</v>
      </c>
      <c r="J596" s="36"/>
      <c r="K596" s="36"/>
    </row>
    <row r="597" spans="1:11" ht="15.75" customHeight="1">
      <c r="A597" s="13">
        <f t="shared" si="24"/>
        <v>593</v>
      </c>
      <c r="B597" s="34" t="s">
        <v>179</v>
      </c>
      <c r="C597" s="37">
        <v>24</v>
      </c>
      <c r="D597" s="36">
        <f t="shared" si="23"/>
        <v>2841.2000000000003</v>
      </c>
      <c r="E597" s="36">
        <f>2497.3-43.9-41.3</f>
        <v>2412.1</v>
      </c>
      <c r="F597" s="36">
        <f>1649.5-28-28.1</f>
        <v>1593.4</v>
      </c>
      <c r="G597" s="36">
        <f>258.1+43.9+41.3</f>
        <v>343.3</v>
      </c>
      <c r="H597" s="36">
        <f>85.8+1.4-1.4</f>
        <v>85.8</v>
      </c>
      <c r="I597" s="36">
        <v>172</v>
      </c>
      <c r="J597" s="36"/>
      <c r="K597" s="36"/>
    </row>
    <row r="598" spans="1:11" ht="15.75" customHeight="1">
      <c r="A598" s="13">
        <f t="shared" si="24"/>
        <v>594</v>
      </c>
      <c r="B598" s="34" t="s">
        <v>180</v>
      </c>
      <c r="C598" s="26">
        <v>5</v>
      </c>
      <c r="D598" s="36">
        <f t="shared" si="23"/>
        <v>3998.7000000000003</v>
      </c>
      <c r="E598" s="26">
        <v>3395.3</v>
      </c>
      <c r="F598" s="26">
        <v>2171.4</v>
      </c>
      <c r="G598" s="26">
        <v>132.5</v>
      </c>
      <c r="H598" s="26">
        <v>470.9</v>
      </c>
      <c r="I598" s="26">
        <f>52.2+82.2</f>
        <v>134.4</v>
      </c>
      <c r="J598" s="26"/>
      <c r="K598" s="26"/>
    </row>
    <row r="599" spans="1:11" ht="15.75" customHeight="1">
      <c r="A599" s="13">
        <f t="shared" si="24"/>
        <v>595</v>
      </c>
      <c r="B599" s="34" t="s">
        <v>180</v>
      </c>
      <c r="C599" s="37">
        <v>11</v>
      </c>
      <c r="D599" s="36">
        <f t="shared" si="23"/>
        <v>2658.5</v>
      </c>
      <c r="E599" s="36">
        <v>2534.5</v>
      </c>
      <c r="F599" s="36">
        <v>1416.2</v>
      </c>
      <c r="G599" s="36">
        <v>83</v>
      </c>
      <c r="H599" s="36">
        <v>41</v>
      </c>
      <c r="I599" s="36"/>
      <c r="J599" s="36"/>
      <c r="K599" s="36"/>
    </row>
    <row r="600" spans="1:11" ht="15.75" customHeight="1">
      <c r="A600" s="13">
        <f t="shared" si="24"/>
        <v>596</v>
      </c>
      <c r="B600" s="34" t="s">
        <v>181</v>
      </c>
      <c r="C600" s="37">
        <v>46</v>
      </c>
      <c r="D600" s="36">
        <f t="shared" si="23"/>
        <v>1975.1</v>
      </c>
      <c r="E600" s="36">
        <v>1723.5</v>
      </c>
      <c r="F600" s="36">
        <v>1040.8</v>
      </c>
      <c r="G600" s="36">
        <v>251.6</v>
      </c>
      <c r="H600" s="36"/>
      <c r="I600" s="36"/>
      <c r="J600" s="36"/>
      <c r="K600" s="36"/>
    </row>
    <row r="601" spans="1:11" ht="15.75" customHeight="1">
      <c r="A601" s="13">
        <f t="shared" si="24"/>
        <v>597</v>
      </c>
      <c r="B601" s="34" t="s">
        <v>181</v>
      </c>
      <c r="C601" s="37">
        <v>48</v>
      </c>
      <c r="D601" s="36">
        <f t="shared" si="23"/>
        <v>3200.4</v>
      </c>
      <c r="E601" s="36">
        <f>3200.4-52.1</f>
        <v>3148.3</v>
      </c>
      <c r="F601" s="36">
        <v>2080.9</v>
      </c>
      <c r="G601" s="36"/>
      <c r="H601" s="36">
        <v>52.1</v>
      </c>
      <c r="I601" s="36"/>
      <c r="J601" s="36"/>
      <c r="K601" s="36"/>
    </row>
    <row r="602" spans="1:11" ht="15.75" customHeight="1">
      <c r="A602" s="13">
        <f t="shared" si="24"/>
        <v>598</v>
      </c>
      <c r="B602" s="34" t="s">
        <v>181</v>
      </c>
      <c r="C602" s="37">
        <v>50</v>
      </c>
      <c r="D602" s="36">
        <f t="shared" si="23"/>
        <v>2638</v>
      </c>
      <c r="E602" s="36">
        <f>2638-46.2</f>
        <v>2591.8</v>
      </c>
      <c r="F602" s="36">
        <v>1731.4</v>
      </c>
      <c r="G602" s="36"/>
      <c r="H602" s="36">
        <v>46.2</v>
      </c>
      <c r="I602" s="36"/>
      <c r="J602" s="36"/>
      <c r="K602" s="36"/>
    </row>
    <row r="603" spans="1:11" ht="15.75" customHeight="1">
      <c r="A603" s="13">
        <f t="shared" si="24"/>
        <v>599</v>
      </c>
      <c r="B603" s="34" t="s">
        <v>181</v>
      </c>
      <c r="C603" s="37">
        <v>52</v>
      </c>
      <c r="D603" s="36">
        <f t="shared" si="23"/>
        <v>3411.9</v>
      </c>
      <c r="E603" s="36">
        <f>3411.9-52</f>
        <v>3359.9</v>
      </c>
      <c r="F603" s="36">
        <v>2276.9</v>
      </c>
      <c r="G603" s="36"/>
      <c r="H603" s="36">
        <v>52</v>
      </c>
      <c r="I603" s="36"/>
      <c r="J603" s="36"/>
      <c r="K603" s="36"/>
    </row>
    <row r="604" spans="1:11" ht="15.75" customHeight="1">
      <c r="A604" s="13">
        <f t="shared" si="24"/>
        <v>600</v>
      </c>
      <c r="B604" s="34" t="s">
        <v>181</v>
      </c>
      <c r="C604" s="37">
        <v>60</v>
      </c>
      <c r="D604" s="36">
        <f t="shared" si="23"/>
        <v>481.8</v>
      </c>
      <c r="E604" s="36">
        <v>481.8</v>
      </c>
      <c r="F604" s="36">
        <v>302.2</v>
      </c>
      <c r="G604" s="36"/>
      <c r="H604" s="36"/>
      <c r="I604" s="36"/>
      <c r="J604" s="36"/>
      <c r="K604" s="36"/>
    </row>
    <row r="605" spans="1:11" ht="15.75" customHeight="1">
      <c r="A605" s="13">
        <f t="shared" si="24"/>
        <v>601</v>
      </c>
      <c r="B605" s="34" t="s">
        <v>181</v>
      </c>
      <c r="C605" s="37">
        <v>64</v>
      </c>
      <c r="D605" s="36">
        <f t="shared" si="23"/>
        <v>465.7</v>
      </c>
      <c r="E605" s="36">
        <v>465.7</v>
      </c>
      <c r="F605" s="36">
        <v>287</v>
      </c>
      <c r="G605" s="36"/>
      <c r="H605" s="36"/>
      <c r="I605" s="36"/>
      <c r="J605" s="36"/>
      <c r="K605" s="36"/>
    </row>
    <row r="606" spans="1:11" ht="15.75" customHeight="1">
      <c r="A606" s="13">
        <f t="shared" si="24"/>
        <v>602</v>
      </c>
      <c r="B606" s="34" t="s">
        <v>181</v>
      </c>
      <c r="C606" s="37">
        <v>65</v>
      </c>
      <c r="D606" s="36">
        <f t="shared" si="23"/>
        <v>8388.9</v>
      </c>
      <c r="E606" s="36">
        <v>6259.5</v>
      </c>
      <c r="F606" s="36">
        <v>3954.2</v>
      </c>
      <c r="G606" s="36">
        <v>2129.4</v>
      </c>
      <c r="H606" s="36"/>
      <c r="I606" s="36"/>
      <c r="J606" s="36"/>
      <c r="K606" s="36"/>
    </row>
    <row r="607" spans="1:11" ht="15.75" customHeight="1">
      <c r="A607" s="13">
        <f t="shared" si="24"/>
        <v>603</v>
      </c>
      <c r="B607" s="34" t="s">
        <v>181</v>
      </c>
      <c r="C607" s="37">
        <v>66</v>
      </c>
      <c r="D607" s="36">
        <f t="shared" si="23"/>
        <v>492.09999999999997</v>
      </c>
      <c r="E607" s="36">
        <v>360.4</v>
      </c>
      <c r="F607" s="36">
        <v>221.9</v>
      </c>
      <c r="G607" s="36">
        <v>131.7</v>
      </c>
      <c r="H607" s="36"/>
      <c r="I607" s="36"/>
      <c r="J607" s="36"/>
      <c r="K607" s="36"/>
    </row>
    <row r="608" spans="1:11" ht="15.75" customHeight="1">
      <c r="A608" s="13">
        <f t="shared" si="24"/>
        <v>604</v>
      </c>
      <c r="B608" s="34" t="s">
        <v>181</v>
      </c>
      <c r="C608" s="37">
        <v>68</v>
      </c>
      <c r="D608" s="36">
        <f t="shared" si="23"/>
        <v>3144.3</v>
      </c>
      <c r="E608" s="36">
        <f>3144.3-32.9</f>
        <v>3111.4</v>
      </c>
      <c r="F608" s="36">
        <v>2061.8</v>
      </c>
      <c r="G608" s="36"/>
      <c r="H608" s="36">
        <v>32.9</v>
      </c>
      <c r="I608" s="36"/>
      <c r="J608" s="36"/>
      <c r="K608" s="36"/>
    </row>
    <row r="609" spans="1:11" ht="15.75" customHeight="1">
      <c r="A609" s="13">
        <f t="shared" si="24"/>
        <v>605</v>
      </c>
      <c r="B609" s="34" t="s">
        <v>181</v>
      </c>
      <c r="C609" s="37" t="s">
        <v>182</v>
      </c>
      <c r="D609" s="36">
        <f t="shared" si="23"/>
        <v>478.1</v>
      </c>
      <c r="E609" s="36">
        <f>478.1-9.7</f>
        <v>468.40000000000003</v>
      </c>
      <c r="F609" s="36">
        <v>295.1</v>
      </c>
      <c r="G609" s="36"/>
      <c r="H609" s="36">
        <v>9.7</v>
      </c>
      <c r="I609" s="36"/>
      <c r="J609" s="36"/>
      <c r="K609" s="36"/>
    </row>
    <row r="610" spans="1:11" ht="15.75" customHeight="1">
      <c r="A610" s="13">
        <f t="shared" si="24"/>
        <v>606</v>
      </c>
      <c r="B610" s="34" t="s">
        <v>181</v>
      </c>
      <c r="C610" s="37" t="s">
        <v>183</v>
      </c>
      <c r="D610" s="36">
        <f t="shared" si="23"/>
        <v>473.4</v>
      </c>
      <c r="E610" s="36">
        <v>473.4</v>
      </c>
      <c r="F610" s="36">
        <v>291.6</v>
      </c>
      <c r="G610" s="36"/>
      <c r="H610" s="36"/>
      <c r="I610" s="36"/>
      <c r="J610" s="36"/>
      <c r="K610" s="36"/>
    </row>
    <row r="611" spans="1:11" ht="15.75" customHeight="1">
      <c r="A611" s="13">
        <f t="shared" si="24"/>
        <v>607</v>
      </c>
      <c r="B611" s="34" t="s">
        <v>181</v>
      </c>
      <c r="C611" s="37" t="s">
        <v>62</v>
      </c>
      <c r="D611" s="36">
        <f t="shared" si="23"/>
        <v>4474.8</v>
      </c>
      <c r="E611" s="36">
        <v>4425.3</v>
      </c>
      <c r="F611" s="36">
        <v>2938.7</v>
      </c>
      <c r="G611" s="36"/>
      <c r="H611" s="36">
        <v>49.5</v>
      </c>
      <c r="I611" s="36"/>
      <c r="J611" s="36"/>
      <c r="K611" s="36"/>
    </row>
    <row r="612" spans="1:11" ht="15.75" customHeight="1">
      <c r="A612" s="13">
        <f t="shared" si="24"/>
        <v>608</v>
      </c>
      <c r="B612" s="34" t="s">
        <v>184</v>
      </c>
      <c r="C612" s="37">
        <v>2</v>
      </c>
      <c r="D612" s="36">
        <f t="shared" si="23"/>
        <v>24151</v>
      </c>
      <c r="E612" s="36">
        <f>23810.9-16.4+16.4</f>
        <v>23810.9</v>
      </c>
      <c r="F612" s="36">
        <v>14634.1</v>
      </c>
      <c r="G612" s="36">
        <f>51.3+16.4-67.7</f>
        <v>0</v>
      </c>
      <c r="H612" s="36">
        <f>288.8+51.3</f>
        <v>340.1</v>
      </c>
      <c r="I612" s="36"/>
      <c r="J612" s="36"/>
      <c r="K612" s="37"/>
    </row>
    <row r="613" spans="1:11" ht="15.75" customHeight="1">
      <c r="A613" s="13">
        <f t="shared" si="24"/>
        <v>609</v>
      </c>
      <c r="B613" s="34" t="s">
        <v>184</v>
      </c>
      <c r="C613" s="37">
        <v>24</v>
      </c>
      <c r="D613" s="36">
        <f t="shared" si="23"/>
        <v>4259.900000000001</v>
      </c>
      <c r="E613" s="36">
        <v>4206.1</v>
      </c>
      <c r="F613" s="36">
        <v>2790</v>
      </c>
      <c r="G613" s="36"/>
      <c r="H613" s="36">
        <v>53.8</v>
      </c>
      <c r="I613" s="36"/>
      <c r="J613" s="36"/>
      <c r="K613" s="36"/>
    </row>
    <row r="614" spans="1:11" ht="15.75" customHeight="1">
      <c r="A614" s="13">
        <f t="shared" si="24"/>
        <v>610</v>
      </c>
      <c r="B614" s="34" t="s">
        <v>184</v>
      </c>
      <c r="C614" s="37">
        <v>26</v>
      </c>
      <c r="D614" s="36">
        <f t="shared" si="23"/>
        <v>4258.3</v>
      </c>
      <c r="E614" s="36">
        <v>4184.7</v>
      </c>
      <c r="F614" s="36">
        <v>2776.3</v>
      </c>
      <c r="G614" s="36"/>
      <c r="H614" s="36">
        <v>73.6</v>
      </c>
      <c r="I614" s="36"/>
      <c r="J614" s="36"/>
      <c r="K614" s="36"/>
    </row>
    <row r="615" spans="1:11" ht="15.75" customHeight="1">
      <c r="A615" s="13">
        <f t="shared" si="24"/>
        <v>611</v>
      </c>
      <c r="B615" s="34" t="s">
        <v>184</v>
      </c>
      <c r="C615" s="37">
        <v>28</v>
      </c>
      <c r="D615" s="36">
        <f t="shared" si="23"/>
        <v>7883.9</v>
      </c>
      <c r="E615" s="36">
        <f>7686.7+70.3+51.7+13.4+22.1</f>
        <v>7844.2</v>
      </c>
      <c r="F615" s="36">
        <v>4629.8</v>
      </c>
      <c r="G615" s="36">
        <f>87.6-87.6</f>
        <v>0</v>
      </c>
      <c r="H615" s="36">
        <f>109.6-47.8-22.1</f>
        <v>39.699999999999996</v>
      </c>
      <c r="I615" s="36"/>
      <c r="J615" s="36"/>
      <c r="K615" s="36"/>
    </row>
    <row r="616" spans="1:11" ht="15.75" customHeight="1">
      <c r="A616" s="13">
        <f t="shared" si="24"/>
        <v>612</v>
      </c>
      <c r="B616" s="34" t="s">
        <v>185</v>
      </c>
      <c r="C616" s="37">
        <v>2</v>
      </c>
      <c r="D616" s="36">
        <f t="shared" si="23"/>
        <v>2974.2</v>
      </c>
      <c r="E616" s="36">
        <f>2809.1+0.9</f>
        <v>2810</v>
      </c>
      <c r="F616" s="36">
        <v>1757.8</v>
      </c>
      <c r="G616" s="36">
        <v>109</v>
      </c>
      <c r="H616" s="36">
        <f>44.9+10.3</f>
        <v>55.2</v>
      </c>
      <c r="I616" s="36"/>
      <c r="J616" s="36"/>
      <c r="K616" s="36"/>
    </row>
    <row r="617" spans="1:11" ht="15.75" customHeight="1">
      <c r="A617" s="13">
        <f t="shared" si="24"/>
        <v>613</v>
      </c>
      <c r="B617" s="34" t="s">
        <v>185</v>
      </c>
      <c r="C617" s="37">
        <v>4</v>
      </c>
      <c r="D617" s="36">
        <f t="shared" si="23"/>
        <v>2909.2000000000003</v>
      </c>
      <c r="E617" s="36">
        <f>2188.5+59.4</f>
        <v>2247.9</v>
      </c>
      <c r="F617" s="36">
        <v>1824</v>
      </c>
      <c r="G617" s="36">
        <f>690.3-59.4</f>
        <v>630.9</v>
      </c>
      <c r="H617" s="36">
        <v>30.4</v>
      </c>
      <c r="I617" s="36"/>
      <c r="J617" s="36"/>
      <c r="K617" s="36"/>
    </row>
    <row r="618" spans="1:11" ht="15.75" customHeight="1">
      <c r="A618" s="13">
        <f t="shared" si="24"/>
        <v>614</v>
      </c>
      <c r="B618" s="34" t="s">
        <v>185</v>
      </c>
      <c r="C618" s="37">
        <v>8</v>
      </c>
      <c r="D618" s="36">
        <f t="shared" si="23"/>
        <v>2618</v>
      </c>
      <c r="E618" s="36">
        <f>2544.5-0.5-1.6</f>
        <v>2542.4</v>
      </c>
      <c r="F618" s="36">
        <v>1712.7</v>
      </c>
      <c r="G618" s="36"/>
      <c r="H618" s="36">
        <v>75.6</v>
      </c>
      <c r="I618" s="36"/>
      <c r="J618" s="36"/>
      <c r="K618" s="36"/>
    </row>
    <row r="619" spans="1:11" ht="15.75" customHeight="1">
      <c r="A619" s="13">
        <f t="shared" si="24"/>
        <v>615</v>
      </c>
      <c r="B619" s="34" t="s">
        <v>185</v>
      </c>
      <c r="C619" s="37">
        <v>10</v>
      </c>
      <c r="D619" s="36">
        <f t="shared" si="23"/>
        <v>1296.2</v>
      </c>
      <c r="E619" s="36">
        <v>1291.3</v>
      </c>
      <c r="F619" s="36">
        <v>843.3</v>
      </c>
      <c r="G619" s="36"/>
      <c r="H619" s="36">
        <v>4.9</v>
      </c>
      <c r="I619" s="36"/>
      <c r="J619" s="36"/>
      <c r="K619" s="36"/>
    </row>
    <row r="620" spans="1:11" ht="15.75" customHeight="1">
      <c r="A620" s="13">
        <f t="shared" si="24"/>
        <v>616</v>
      </c>
      <c r="B620" s="34" t="s">
        <v>186</v>
      </c>
      <c r="C620" s="41">
        <v>4</v>
      </c>
      <c r="D620" s="36">
        <f t="shared" si="23"/>
        <v>67.3</v>
      </c>
      <c r="E620" s="42">
        <v>67.3</v>
      </c>
      <c r="F620" s="42">
        <v>53.3</v>
      </c>
      <c r="G620" s="42"/>
      <c r="H620" s="42"/>
      <c r="I620" s="37"/>
      <c r="J620" s="37"/>
      <c r="K620" s="37"/>
    </row>
    <row r="621" spans="1:11" ht="15.75" customHeight="1">
      <c r="A621" s="13">
        <f t="shared" si="24"/>
        <v>617</v>
      </c>
      <c r="B621" s="34" t="s">
        <v>186</v>
      </c>
      <c r="C621" s="37">
        <v>5</v>
      </c>
      <c r="D621" s="36">
        <f t="shared" si="23"/>
        <v>125.2</v>
      </c>
      <c r="E621" s="36">
        <v>125.2</v>
      </c>
      <c r="F621" s="37">
        <v>99.9</v>
      </c>
      <c r="G621" s="37"/>
      <c r="H621" s="37"/>
      <c r="I621" s="41"/>
      <c r="J621" s="41"/>
      <c r="K621" s="43"/>
    </row>
    <row r="622" spans="1:11" ht="15.75" customHeight="1">
      <c r="A622" s="13">
        <f t="shared" si="24"/>
        <v>618</v>
      </c>
      <c r="B622" s="34" t="s">
        <v>186</v>
      </c>
      <c r="C622" s="37">
        <v>6</v>
      </c>
      <c r="D622" s="36">
        <f t="shared" si="23"/>
        <v>72.9</v>
      </c>
      <c r="E622" s="36">
        <f>66.4+6.5</f>
        <v>72.9</v>
      </c>
      <c r="F622" s="36">
        <v>48.6</v>
      </c>
      <c r="G622" s="36"/>
      <c r="H622" s="36"/>
      <c r="I622" s="42"/>
      <c r="J622" s="42"/>
      <c r="K622" s="42"/>
    </row>
    <row r="623" spans="1:11" ht="15.75" customHeight="1">
      <c r="A623" s="13">
        <f t="shared" si="24"/>
        <v>619</v>
      </c>
      <c r="B623" s="34" t="s">
        <v>186</v>
      </c>
      <c r="C623" s="37">
        <v>8</v>
      </c>
      <c r="D623" s="36">
        <f t="shared" si="23"/>
        <v>104.1</v>
      </c>
      <c r="E623" s="36">
        <v>104.1</v>
      </c>
      <c r="F623" s="36">
        <v>75.7</v>
      </c>
      <c r="G623" s="36"/>
      <c r="H623" s="36"/>
      <c r="I623" s="37"/>
      <c r="J623" s="37"/>
      <c r="K623" s="37"/>
    </row>
    <row r="624" spans="1:11" ht="15.75" customHeight="1">
      <c r="A624" s="13">
        <f t="shared" si="24"/>
        <v>620</v>
      </c>
      <c r="B624" s="34" t="s">
        <v>186</v>
      </c>
      <c r="C624" s="37">
        <v>9</v>
      </c>
      <c r="D624" s="36">
        <f t="shared" si="23"/>
        <v>66.8</v>
      </c>
      <c r="E624" s="36">
        <v>66.8</v>
      </c>
      <c r="F624" s="36">
        <v>50.2</v>
      </c>
      <c r="G624" s="36"/>
      <c r="H624" s="36"/>
      <c r="I624" s="36"/>
      <c r="J624" s="36"/>
      <c r="K624" s="36"/>
    </row>
    <row r="625" spans="1:11" ht="15.75" customHeight="1">
      <c r="A625" s="13">
        <f t="shared" si="24"/>
        <v>621</v>
      </c>
      <c r="B625" s="34" t="s">
        <v>186</v>
      </c>
      <c r="C625" s="37">
        <v>10</v>
      </c>
      <c r="D625" s="36">
        <f t="shared" si="23"/>
        <v>99.2</v>
      </c>
      <c r="E625" s="36">
        <v>99.2</v>
      </c>
      <c r="F625" s="36">
        <v>66.5</v>
      </c>
      <c r="G625" s="36"/>
      <c r="H625" s="36"/>
      <c r="I625" s="36"/>
      <c r="J625" s="36"/>
      <c r="K625" s="36"/>
    </row>
    <row r="626" spans="1:11" ht="15.75" customHeight="1">
      <c r="A626" s="13">
        <f t="shared" si="24"/>
        <v>622</v>
      </c>
      <c r="B626" s="34" t="s">
        <v>186</v>
      </c>
      <c r="C626" s="37">
        <v>11</v>
      </c>
      <c r="D626" s="36">
        <f t="shared" si="23"/>
        <v>86.9</v>
      </c>
      <c r="E626" s="36">
        <f>86.2+0.7</f>
        <v>86.9</v>
      </c>
      <c r="F626" s="36">
        <v>61</v>
      </c>
      <c r="G626" s="36"/>
      <c r="H626" s="36"/>
      <c r="I626" s="36"/>
      <c r="J626" s="36"/>
      <c r="K626" s="36"/>
    </row>
    <row r="627" spans="1:11" ht="15.75" customHeight="1">
      <c r="A627" s="13">
        <f t="shared" si="24"/>
        <v>623</v>
      </c>
      <c r="B627" s="34" t="s">
        <v>186</v>
      </c>
      <c r="C627" s="37">
        <v>12</v>
      </c>
      <c r="D627" s="36">
        <f t="shared" si="23"/>
        <v>105.7</v>
      </c>
      <c r="E627" s="36">
        <f>96+9.7</f>
        <v>105.7</v>
      </c>
      <c r="F627" s="36">
        <v>59</v>
      </c>
      <c r="G627" s="36"/>
      <c r="H627" s="36"/>
      <c r="I627" s="36"/>
      <c r="J627" s="36"/>
      <c r="K627" s="36"/>
    </row>
    <row r="628" spans="1:11" ht="15.75" customHeight="1">
      <c r="A628" s="13">
        <f t="shared" si="24"/>
        <v>624</v>
      </c>
      <c r="B628" s="34" t="s">
        <v>186</v>
      </c>
      <c r="C628" s="37">
        <v>13</v>
      </c>
      <c r="D628" s="36">
        <f t="shared" si="23"/>
        <v>109.5</v>
      </c>
      <c r="E628" s="36">
        <v>109.5</v>
      </c>
      <c r="F628" s="36">
        <v>68.9</v>
      </c>
      <c r="G628" s="36"/>
      <c r="H628" s="36"/>
      <c r="I628" s="36"/>
      <c r="J628" s="36"/>
      <c r="K628" s="36"/>
    </row>
    <row r="629" spans="1:11" ht="15.75" customHeight="1">
      <c r="A629" s="13">
        <f t="shared" si="24"/>
        <v>625</v>
      </c>
      <c r="B629" s="34" t="s">
        <v>186</v>
      </c>
      <c r="C629" s="37">
        <v>15</v>
      </c>
      <c r="D629" s="36">
        <f t="shared" si="23"/>
        <v>108.5</v>
      </c>
      <c r="E629" s="36">
        <f>105.1+3.4</f>
        <v>108.5</v>
      </c>
      <c r="F629" s="36">
        <v>83.5</v>
      </c>
      <c r="G629" s="36"/>
      <c r="H629" s="36"/>
      <c r="I629" s="36"/>
      <c r="J629" s="36"/>
      <c r="K629" s="36"/>
    </row>
    <row r="630" spans="1:11" ht="15.75" customHeight="1">
      <c r="A630" s="13">
        <f t="shared" si="24"/>
        <v>626</v>
      </c>
      <c r="B630" s="34" t="s">
        <v>186</v>
      </c>
      <c r="C630" s="37">
        <v>16</v>
      </c>
      <c r="D630" s="36">
        <f t="shared" si="23"/>
        <v>97</v>
      </c>
      <c r="E630" s="36">
        <v>97</v>
      </c>
      <c r="F630" s="36">
        <v>69.7</v>
      </c>
      <c r="G630" s="36"/>
      <c r="H630" s="36"/>
      <c r="I630" s="36"/>
      <c r="J630" s="36"/>
      <c r="K630" s="36"/>
    </row>
    <row r="631" spans="1:11" ht="15.75" customHeight="1">
      <c r="A631" s="13">
        <f t="shared" si="24"/>
        <v>627</v>
      </c>
      <c r="B631" s="34" t="s">
        <v>186</v>
      </c>
      <c r="C631" s="37">
        <v>18</v>
      </c>
      <c r="D631" s="36">
        <f t="shared" si="23"/>
        <v>91.3</v>
      </c>
      <c r="E631" s="36">
        <f>91.8-0.5</f>
        <v>91.3</v>
      </c>
      <c r="F631" s="36">
        <v>60.7</v>
      </c>
      <c r="G631" s="36"/>
      <c r="H631" s="36"/>
      <c r="I631" s="36"/>
      <c r="J631" s="36"/>
      <c r="K631" s="36"/>
    </row>
    <row r="632" spans="1:11" ht="15.75" customHeight="1">
      <c r="A632" s="13">
        <f t="shared" si="24"/>
        <v>628</v>
      </c>
      <c r="B632" s="34" t="s">
        <v>186</v>
      </c>
      <c r="C632" s="37">
        <v>19</v>
      </c>
      <c r="D632" s="36">
        <f t="shared" si="23"/>
        <v>80.8</v>
      </c>
      <c r="E632" s="36">
        <f>82.1-1.3</f>
        <v>80.8</v>
      </c>
      <c r="F632" s="36">
        <v>62</v>
      </c>
      <c r="G632" s="36"/>
      <c r="H632" s="36"/>
      <c r="I632" s="36"/>
      <c r="J632" s="36"/>
      <c r="K632" s="36"/>
    </row>
    <row r="633" spans="1:11" ht="15.75" customHeight="1">
      <c r="A633" s="13">
        <f t="shared" si="24"/>
        <v>629</v>
      </c>
      <c r="B633" s="34" t="s">
        <v>186</v>
      </c>
      <c r="C633" s="37">
        <v>20</v>
      </c>
      <c r="D633" s="36">
        <f t="shared" si="23"/>
        <v>125.4</v>
      </c>
      <c r="E633" s="36">
        <v>125.4</v>
      </c>
      <c r="F633" s="36">
        <v>76.1</v>
      </c>
      <c r="G633" s="37"/>
      <c r="H633" s="37"/>
      <c r="I633" s="36"/>
      <c r="J633" s="36"/>
      <c r="K633" s="36"/>
    </row>
    <row r="634" spans="1:11" ht="15.75" customHeight="1">
      <c r="A634" s="13">
        <f t="shared" si="24"/>
        <v>630</v>
      </c>
      <c r="B634" s="34" t="s">
        <v>186</v>
      </c>
      <c r="C634" s="41">
        <v>22</v>
      </c>
      <c r="D634" s="36">
        <f t="shared" si="23"/>
        <v>126.1</v>
      </c>
      <c r="E634" s="42">
        <v>126.1</v>
      </c>
      <c r="F634" s="42">
        <v>55.4</v>
      </c>
      <c r="G634" s="41"/>
      <c r="H634" s="41"/>
      <c r="I634" s="36"/>
      <c r="J634" s="36"/>
      <c r="K634" s="36"/>
    </row>
    <row r="635" spans="1:11" ht="15.75" customHeight="1">
      <c r="A635" s="13">
        <f t="shared" si="24"/>
        <v>631</v>
      </c>
      <c r="B635" s="34" t="s">
        <v>187</v>
      </c>
      <c r="C635" s="37">
        <v>2</v>
      </c>
      <c r="D635" s="36">
        <f t="shared" si="23"/>
        <v>104.7</v>
      </c>
      <c r="E635" s="36">
        <f>97+7.7</f>
        <v>104.7</v>
      </c>
      <c r="F635" s="36">
        <v>72.7</v>
      </c>
      <c r="G635" s="36"/>
      <c r="H635" s="36"/>
      <c r="I635" s="36"/>
      <c r="J635" s="36"/>
      <c r="K635" s="36"/>
    </row>
    <row r="636" spans="1:11" ht="15.75" customHeight="1">
      <c r="A636" s="13">
        <f t="shared" si="24"/>
        <v>632</v>
      </c>
      <c r="B636" s="34" t="s">
        <v>187</v>
      </c>
      <c r="C636" s="37">
        <v>4</v>
      </c>
      <c r="D636" s="36">
        <f t="shared" si="23"/>
        <v>108.5</v>
      </c>
      <c r="E636" s="36">
        <v>108.5</v>
      </c>
      <c r="F636" s="36">
        <v>70.1</v>
      </c>
      <c r="G636" s="36"/>
      <c r="H636" s="36"/>
      <c r="I636" s="36"/>
      <c r="J636" s="36"/>
      <c r="K636" s="36"/>
    </row>
    <row r="637" spans="1:11" ht="15.75" customHeight="1">
      <c r="A637" s="13">
        <f t="shared" si="24"/>
        <v>633</v>
      </c>
      <c r="B637" s="34" t="s">
        <v>187</v>
      </c>
      <c r="C637" s="37">
        <v>6</v>
      </c>
      <c r="D637" s="36">
        <f t="shared" si="23"/>
        <v>123.3</v>
      </c>
      <c r="E637" s="36">
        <v>123.3</v>
      </c>
      <c r="F637" s="36">
        <v>83.2</v>
      </c>
      <c r="G637" s="36"/>
      <c r="H637" s="36"/>
      <c r="I637" s="37"/>
      <c r="J637" s="37"/>
      <c r="K637" s="37"/>
    </row>
    <row r="638" spans="1:11" ht="15.75" customHeight="1">
      <c r="A638" s="13">
        <f t="shared" si="24"/>
        <v>634</v>
      </c>
      <c r="B638" s="34" t="s">
        <v>187</v>
      </c>
      <c r="C638" s="37">
        <v>10</v>
      </c>
      <c r="D638" s="36">
        <f t="shared" si="23"/>
        <v>106.3</v>
      </c>
      <c r="E638" s="36">
        <v>106.3</v>
      </c>
      <c r="F638" s="36">
        <v>71.3</v>
      </c>
      <c r="G638" s="36"/>
      <c r="H638" s="36"/>
      <c r="I638" s="37"/>
      <c r="J638" s="37"/>
      <c r="K638" s="37"/>
    </row>
    <row r="639" spans="1:11" ht="15.75" customHeight="1">
      <c r="A639" s="13">
        <f t="shared" si="24"/>
        <v>635</v>
      </c>
      <c r="B639" s="34" t="s">
        <v>187</v>
      </c>
      <c r="C639" s="37">
        <v>12</v>
      </c>
      <c r="D639" s="36">
        <f t="shared" si="23"/>
        <v>102.9</v>
      </c>
      <c r="E639" s="36">
        <v>102.9</v>
      </c>
      <c r="F639" s="36">
        <v>68.9</v>
      </c>
      <c r="G639" s="36"/>
      <c r="H639" s="36"/>
      <c r="I639" s="41"/>
      <c r="J639" s="41"/>
      <c r="K639" s="41"/>
    </row>
    <row r="640" spans="1:11" ht="15.75" customHeight="1">
      <c r="A640" s="13">
        <f t="shared" si="24"/>
        <v>636</v>
      </c>
      <c r="B640" s="34" t="s">
        <v>187</v>
      </c>
      <c r="C640" s="37">
        <v>14</v>
      </c>
      <c r="D640" s="36">
        <f t="shared" si="23"/>
        <v>75.7</v>
      </c>
      <c r="E640" s="36">
        <f>68.9+6.8</f>
        <v>75.7</v>
      </c>
      <c r="F640" s="36">
        <v>49.6</v>
      </c>
      <c r="G640" s="36"/>
      <c r="H640" s="36"/>
      <c r="I640" s="36"/>
      <c r="J640" s="36"/>
      <c r="K640" s="36"/>
    </row>
    <row r="641" spans="1:11" ht="15.75" customHeight="1">
      <c r="A641" s="13">
        <f t="shared" si="24"/>
        <v>637</v>
      </c>
      <c r="B641" s="34" t="s">
        <v>187</v>
      </c>
      <c r="C641" s="37">
        <v>16</v>
      </c>
      <c r="D641" s="36">
        <f t="shared" si="23"/>
        <v>74.9</v>
      </c>
      <c r="E641" s="36">
        <v>74.9</v>
      </c>
      <c r="F641" s="36">
        <v>50.8</v>
      </c>
      <c r="G641" s="36"/>
      <c r="H641" s="36"/>
      <c r="I641" s="36"/>
      <c r="J641" s="36"/>
      <c r="K641" s="36"/>
    </row>
    <row r="642" spans="1:11" ht="15.75" customHeight="1">
      <c r="A642" s="13">
        <f t="shared" si="24"/>
        <v>638</v>
      </c>
      <c r="B642" s="34" t="s">
        <v>187</v>
      </c>
      <c r="C642" s="37">
        <v>18</v>
      </c>
      <c r="D642" s="36">
        <f aca="true" t="shared" si="25" ref="D642:D655">E642+G642+H642</f>
        <v>105.5</v>
      </c>
      <c r="E642" s="36">
        <f>91.3+14.2</f>
        <v>105.5</v>
      </c>
      <c r="F642" s="36">
        <v>62.8</v>
      </c>
      <c r="G642" s="36"/>
      <c r="H642" s="36"/>
      <c r="I642" s="36"/>
      <c r="J642" s="36"/>
      <c r="K642" s="36"/>
    </row>
    <row r="643" spans="1:11" ht="15.75" customHeight="1">
      <c r="A643" s="13">
        <f t="shared" si="24"/>
        <v>639</v>
      </c>
      <c r="B643" s="34" t="s">
        <v>187</v>
      </c>
      <c r="C643" s="37">
        <v>20</v>
      </c>
      <c r="D643" s="36">
        <f t="shared" si="25"/>
        <v>125.30000000000001</v>
      </c>
      <c r="E643" s="36">
        <f>127.4-2.1</f>
        <v>125.30000000000001</v>
      </c>
      <c r="F643" s="36">
        <v>82.5</v>
      </c>
      <c r="G643" s="36"/>
      <c r="H643" s="36"/>
      <c r="I643" s="36"/>
      <c r="J643" s="36"/>
      <c r="K643" s="36"/>
    </row>
    <row r="644" spans="1:11" ht="15.75" customHeight="1">
      <c r="A644" s="13">
        <f t="shared" si="24"/>
        <v>640</v>
      </c>
      <c r="B644" s="34" t="s">
        <v>188</v>
      </c>
      <c r="C644" s="37">
        <v>27</v>
      </c>
      <c r="D644" s="36">
        <f t="shared" si="25"/>
        <v>85.3</v>
      </c>
      <c r="E644" s="36">
        <v>85.3</v>
      </c>
      <c r="F644" s="36">
        <v>49</v>
      </c>
      <c r="G644" s="36"/>
      <c r="H644" s="36"/>
      <c r="I644" s="36"/>
      <c r="J644" s="36"/>
      <c r="K644" s="36"/>
    </row>
    <row r="645" spans="1:11" ht="15.75" customHeight="1">
      <c r="A645" s="13">
        <f t="shared" si="24"/>
        <v>641</v>
      </c>
      <c r="B645" s="34" t="s">
        <v>188</v>
      </c>
      <c r="C645" s="37">
        <v>29</v>
      </c>
      <c r="D645" s="36">
        <f t="shared" si="25"/>
        <v>125</v>
      </c>
      <c r="E645" s="36">
        <f>92.6+22.4+10</f>
        <v>125</v>
      </c>
      <c r="F645" s="36">
        <v>61.5</v>
      </c>
      <c r="G645" s="36"/>
      <c r="H645" s="36"/>
      <c r="I645" s="36"/>
      <c r="J645" s="36"/>
      <c r="K645" s="36"/>
    </row>
    <row r="646" spans="1:11" ht="15.75" customHeight="1">
      <c r="A646" s="13">
        <f aca="true" t="shared" si="26" ref="A646:A709">A645+1</f>
        <v>642</v>
      </c>
      <c r="B646" s="34" t="s">
        <v>189</v>
      </c>
      <c r="C646" s="37">
        <v>1</v>
      </c>
      <c r="D646" s="36">
        <f t="shared" si="25"/>
        <v>79.4</v>
      </c>
      <c r="E646" s="36">
        <v>79.4</v>
      </c>
      <c r="F646" s="36">
        <v>59.4</v>
      </c>
      <c r="G646" s="36"/>
      <c r="H646" s="36"/>
      <c r="I646" s="36"/>
      <c r="J646" s="36"/>
      <c r="K646" s="36"/>
    </row>
    <row r="647" spans="1:11" ht="15.75" customHeight="1">
      <c r="A647" s="13">
        <f t="shared" si="26"/>
        <v>643</v>
      </c>
      <c r="B647" s="34" t="s">
        <v>189</v>
      </c>
      <c r="C647" s="37">
        <v>3</v>
      </c>
      <c r="D647" s="36">
        <f t="shared" si="25"/>
        <v>113</v>
      </c>
      <c r="E647" s="36">
        <v>113</v>
      </c>
      <c r="F647" s="36">
        <v>82.8</v>
      </c>
      <c r="G647" s="36"/>
      <c r="H647" s="36"/>
      <c r="I647" s="36"/>
      <c r="J647" s="36"/>
      <c r="K647" s="36"/>
    </row>
    <row r="648" spans="1:11" ht="15.75" customHeight="1">
      <c r="A648" s="13">
        <f t="shared" si="26"/>
        <v>644</v>
      </c>
      <c r="B648" s="34" t="s">
        <v>189</v>
      </c>
      <c r="C648" s="37">
        <v>5</v>
      </c>
      <c r="D648" s="36">
        <f t="shared" si="25"/>
        <v>91.2</v>
      </c>
      <c r="E648" s="36">
        <v>91.2</v>
      </c>
      <c r="F648" s="36">
        <v>69.8</v>
      </c>
      <c r="G648" s="36"/>
      <c r="H648" s="36"/>
      <c r="I648" s="36"/>
      <c r="J648" s="36"/>
      <c r="K648" s="36"/>
    </row>
    <row r="649" spans="1:11" ht="15.75" customHeight="1">
      <c r="A649" s="13">
        <f t="shared" si="26"/>
        <v>645</v>
      </c>
      <c r="B649" s="34" t="s">
        <v>189</v>
      </c>
      <c r="C649" s="37">
        <v>7</v>
      </c>
      <c r="D649" s="36">
        <f t="shared" si="25"/>
        <v>94.8</v>
      </c>
      <c r="E649" s="36">
        <v>94.8</v>
      </c>
      <c r="F649" s="36">
        <v>69.6</v>
      </c>
      <c r="G649" s="36"/>
      <c r="H649" s="36"/>
      <c r="I649" s="36"/>
      <c r="J649" s="36"/>
      <c r="K649" s="36"/>
    </row>
    <row r="650" spans="1:11" ht="15.75" customHeight="1">
      <c r="A650" s="13">
        <f t="shared" si="26"/>
        <v>646</v>
      </c>
      <c r="B650" s="34" t="s">
        <v>189</v>
      </c>
      <c r="C650" s="37">
        <v>9</v>
      </c>
      <c r="D650" s="36">
        <f t="shared" si="25"/>
        <v>128.1</v>
      </c>
      <c r="E650" s="36">
        <v>128.1</v>
      </c>
      <c r="F650" s="36">
        <v>81.5</v>
      </c>
      <c r="G650" s="36"/>
      <c r="H650" s="36"/>
      <c r="I650" s="36"/>
      <c r="J650" s="36"/>
      <c r="K650" s="36"/>
    </row>
    <row r="651" spans="1:11" ht="15.75" customHeight="1">
      <c r="A651" s="13">
        <f t="shared" si="26"/>
        <v>647</v>
      </c>
      <c r="B651" s="34" t="s">
        <v>189</v>
      </c>
      <c r="C651" s="37">
        <v>11</v>
      </c>
      <c r="D651" s="36">
        <f t="shared" si="25"/>
        <v>117.6</v>
      </c>
      <c r="E651" s="36">
        <v>117.6</v>
      </c>
      <c r="F651" s="36">
        <v>76.8</v>
      </c>
      <c r="G651" s="36"/>
      <c r="H651" s="36"/>
      <c r="I651" s="36"/>
      <c r="J651" s="36"/>
      <c r="K651" s="36"/>
    </row>
    <row r="652" spans="1:11" ht="15.75" customHeight="1">
      <c r="A652" s="13">
        <f t="shared" si="26"/>
        <v>648</v>
      </c>
      <c r="B652" s="34" t="s">
        <v>189</v>
      </c>
      <c r="C652" s="37">
        <v>13</v>
      </c>
      <c r="D652" s="36">
        <f t="shared" si="25"/>
        <v>80.6</v>
      </c>
      <c r="E652" s="36">
        <v>80.6</v>
      </c>
      <c r="F652" s="36">
        <v>59.2</v>
      </c>
      <c r="G652" s="36"/>
      <c r="H652" s="36"/>
      <c r="I652" s="36"/>
      <c r="J652" s="36"/>
      <c r="K652" s="36"/>
    </row>
    <row r="653" spans="1:11" ht="15.75" customHeight="1">
      <c r="A653" s="13">
        <f t="shared" si="26"/>
        <v>649</v>
      </c>
      <c r="B653" s="34" t="s">
        <v>189</v>
      </c>
      <c r="C653" s="37">
        <v>15</v>
      </c>
      <c r="D653" s="36">
        <f t="shared" si="25"/>
        <v>88.9</v>
      </c>
      <c r="E653" s="36">
        <f>81.5+7.4</f>
        <v>88.9</v>
      </c>
      <c r="F653" s="36">
        <v>63.4</v>
      </c>
      <c r="G653" s="36"/>
      <c r="H653" s="36"/>
      <c r="I653" s="36"/>
      <c r="J653" s="36"/>
      <c r="K653" s="36"/>
    </row>
    <row r="654" spans="1:11" ht="15.75" customHeight="1">
      <c r="A654" s="13">
        <f t="shared" si="26"/>
        <v>650</v>
      </c>
      <c r="B654" s="34" t="s">
        <v>190</v>
      </c>
      <c r="C654" s="37">
        <v>46</v>
      </c>
      <c r="D654" s="36">
        <f t="shared" si="25"/>
        <v>126.79999999999998</v>
      </c>
      <c r="E654" s="36">
        <f>110.3+19.9-3.4</f>
        <v>126.79999999999998</v>
      </c>
      <c r="F654" s="36">
        <v>78</v>
      </c>
      <c r="G654" s="36"/>
      <c r="H654" s="36"/>
      <c r="I654" s="36"/>
      <c r="J654" s="36"/>
      <c r="K654" s="36"/>
    </row>
    <row r="655" spans="1:11" ht="15.75" customHeight="1">
      <c r="A655" s="13">
        <f t="shared" si="26"/>
        <v>651</v>
      </c>
      <c r="B655" s="34" t="s">
        <v>190</v>
      </c>
      <c r="C655" s="37">
        <v>48</v>
      </c>
      <c r="D655" s="36">
        <f t="shared" si="25"/>
        <v>80</v>
      </c>
      <c r="E655" s="36">
        <v>80</v>
      </c>
      <c r="F655" s="36">
        <v>67</v>
      </c>
      <c r="G655" s="36"/>
      <c r="H655" s="36"/>
      <c r="I655" s="36"/>
      <c r="J655" s="36"/>
      <c r="K655" s="36"/>
    </row>
    <row r="656" spans="1:11" ht="15.75" customHeight="1">
      <c r="A656" s="13">
        <f t="shared" si="26"/>
        <v>652</v>
      </c>
      <c r="B656" s="34" t="s">
        <v>190</v>
      </c>
      <c r="C656" s="37">
        <v>50</v>
      </c>
      <c r="D656" s="36">
        <f>E656</f>
        <v>449.7</v>
      </c>
      <c r="E656" s="36">
        <f>449.7</f>
        <v>449.7</v>
      </c>
      <c r="F656" s="36">
        <v>311.6</v>
      </c>
      <c r="G656" s="36"/>
      <c r="H656" s="36"/>
      <c r="I656" s="36"/>
      <c r="J656" s="36"/>
      <c r="K656" s="36"/>
    </row>
    <row r="657" spans="1:11" ht="15.75" customHeight="1">
      <c r="A657" s="13">
        <f t="shared" si="26"/>
        <v>653</v>
      </c>
      <c r="B657" s="34" t="s">
        <v>190</v>
      </c>
      <c r="C657" s="37">
        <v>52</v>
      </c>
      <c r="D657" s="36">
        <f aca="true" t="shared" si="27" ref="D657:D720">E657+G657+H657</f>
        <v>126</v>
      </c>
      <c r="E657" s="36">
        <f>96.4+29.6</f>
        <v>126</v>
      </c>
      <c r="F657" s="36">
        <v>72.5</v>
      </c>
      <c r="G657" s="36"/>
      <c r="H657" s="36"/>
      <c r="I657" s="36"/>
      <c r="J657" s="36"/>
      <c r="K657" s="36"/>
    </row>
    <row r="658" spans="1:11" ht="15.75" customHeight="1">
      <c r="A658" s="13">
        <f t="shared" si="26"/>
        <v>654</v>
      </c>
      <c r="B658" s="34" t="s">
        <v>190</v>
      </c>
      <c r="C658" s="37">
        <v>54</v>
      </c>
      <c r="D658" s="36">
        <f t="shared" si="27"/>
        <v>92.2</v>
      </c>
      <c r="E658" s="36">
        <f>75.9+16.3</f>
        <v>92.2</v>
      </c>
      <c r="F658" s="36">
        <v>59.8</v>
      </c>
      <c r="G658" s="36"/>
      <c r="H658" s="36"/>
      <c r="I658" s="36"/>
      <c r="J658" s="36"/>
      <c r="K658" s="36"/>
    </row>
    <row r="659" spans="1:11" ht="15.75" customHeight="1">
      <c r="A659" s="13">
        <f t="shared" si="26"/>
        <v>655</v>
      </c>
      <c r="B659" s="34" t="s">
        <v>190</v>
      </c>
      <c r="C659" s="37">
        <v>79</v>
      </c>
      <c r="D659" s="36">
        <f t="shared" si="27"/>
        <v>190.70000000000002</v>
      </c>
      <c r="E659" s="36">
        <f>149.8+40.9</f>
        <v>190.70000000000002</v>
      </c>
      <c r="F659" s="36">
        <v>91.2</v>
      </c>
      <c r="G659" s="36"/>
      <c r="H659" s="36"/>
      <c r="I659" s="36"/>
      <c r="J659" s="36"/>
      <c r="K659" s="36"/>
    </row>
    <row r="660" spans="1:11" ht="15.75" customHeight="1">
      <c r="A660" s="13">
        <f t="shared" si="26"/>
        <v>656</v>
      </c>
      <c r="B660" s="34" t="s">
        <v>191</v>
      </c>
      <c r="C660" s="37">
        <v>1</v>
      </c>
      <c r="D660" s="36">
        <f t="shared" si="27"/>
        <v>66.9</v>
      </c>
      <c r="E660" s="36">
        <v>66.9</v>
      </c>
      <c r="F660" s="36">
        <v>51.9</v>
      </c>
      <c r="G660" s="36"/>
      <c r="H660" s="36"/>
      <c r="I660" s="36"/>
      <c r="J660" s="36"/>
      <c r="K660" s="36"/>
    </row>
    <row r="661" spans="1:11" ht="15.75" customHeight="1">
      <c r="A661" s="13">
        <f t="shared" si="26"/>
        <v>657</v>
      </c>
      <c r="B661" s="34" t="s">
        <v>191</v>
      </c>
      <c r="C661" s="37">
        <v>2</v>
      </c>
      <c r="D661" s="36">
        <f t="shared" si="27"/>
        <v>77.5</v>
      </c>
      <c r="E661" s="36">
        <v>77.5</v>
      </c>
      <c r="F661" s="36">
        <v>53.7</v>
      </c>
      <c r="G661" s="36"/>
      <c r="H661" s="36"/>
      <c r="I661" s="36"/>
      <c r="J661" s="36"/>
      <c r="K661" s="36"/>
    </row>
    <row r="662" spans="1:11" ht="15.75" customHeight="1">
      <c r="A662" s="13">
        <f t="shared" si="26"/>
        <v>658</v>
      </c>
      <c r="B662" s="34" t="s">
        <v>191</v>
      </c>
      <c r="C662" s="37">
        <v>3</v>
      </c>
      <c r="D662" s="36">
        <f t="shared" si="27"/>
        <v>112.4</v>
      </c>
      <c r="E662" s="36">
        <v>112.4</v>
      </c>
      <c r="F662" s="36">
        <v>88.4</v>
      </c>
      <c r="G662" s="36"/>
      <c r="H662" s="36"/>
      <c r="I662" s="36"/>
      <c r="J662" s="36"/>
      <c r="K662" s="36"/>
    </row>
    <row r="663" spans="1:11" ht="15.75" customHeight="1">
      <c r="A663" s="13">
        <f t="shared" si="26"/>
        <v>659</v>
      </c>
      <c r="B663" s="34" t="s">
        <v>191</v>
      </c>
      <c r="C663" s="37">
        <v>4</v>
      </c>
      <c r="D663" s="36">
        <f t="shared" si="27"/>
        <v>80.2</v>
      </c>
      <c r="E663" s="36">
        <f>72.5+7.7</f>
        <v>80.2</v>
      </c>
      <c r="F663" s="36">
        <v>48.4</v>
      </c>
      <c r="G663" s="36"/>
      <c r="H663" s="36"/>
      <c r="I663" s="36"/>
      <c r="J663" s="36"/>
      <c r="K663" s="36"/>
    </row>
    <row r="664" spans="1:11" ht="15.75" customHeight="1">
      <c r="A664" s="13">
        <f t="shared" si="26"/>
        <v>660</v>
      </c>
      <c r="B664" s="34" t="s">
        <v>191</v>
      </c>
      <c r="C664" s="37">
        <v>5</v>
      </c>
      <c r="D664" s="36">
        <f t="shared" si="27"/>
        <v>86.3</v>
      </c>
      <c r="E664" s="36">
        <v>86.3</v>
      </c>
      <c r="F664" s="36">
        <v>54.1</v>
      </c>
      <c r="G664" s="36"/>
      <c r="H664" s="36"/>
      <c r="I664" s="36"/>
      <c r="J664" s="36"/>
      <c r="K664" s="36"/>
    </row>
    <row r="665" spans="1:11" ht="15.75" customHeight="1">
      <c r="A665" s="13">
        <f t="shared" si="26"/>
        <v>661</v>
      </c>
      <c r="B665" s="34" t="s">
        <v>191</v>
      </c>
      <c r="C665" s="37">
        <v>6</v>
      </c>
      <c r="D665" s="36">
        <f t="shared" si="27"/>
        <v>96.1</v>
      </c>
      <c r="E665" s="36">
        <v>96.1</v>
      </c>
      <c r="F665" s="36">
        <v>64.7</v>
      </c>
      <c r="G665" s="36"/>
      <c r="H665" s="36"/>
      <c r="I665" s="36"/>
      <c r="J665" s="36"/>
      <c r="K665" s="36"/>
    </row>
    <row r="666" spans="1:11" ht="15.75" customHeight="1">
      <c r="A666" s="13">
        <f t="shared" si="26"/>
        <v>662</v>
      </c>
      <c r="B666" s="34" t="s">
        <v>191</v>
      </c>
      <c r="C666" s="37">
        <v>7</v>
      </c>
      <c r="D666" s="36">
        <f t="shared" si="27"/>
        <v>88.5</v>
      </c>
      <c r="E666" s="36">
        <v>88.5</v>
      </c>
      <c r="F666" s="36">
        <v>67.4</v>
      </c>
      <c r="G666" s="36"/>
      <c r="H666" s="36"/>
      <c r="I666" s="36"/>
      <c r="J666" s="36"/>
      <c r="K666" s="36"/>
    </row>
    <row r="667" spans="1:11" ht="15.75" customHeight="1">
      <c r="A667" s="13">
        <f t="shared" si="26"/>
        <v>663</v>
      </c>
      <c r="B667" s="34" t="s">
        <v>191</v>
      </c>
      <c r="C667" s="37">
        <v>8</v>
      </c>
      <c r="D667" s="36">
        <f t="shared" si="27"/>
        <v>90</v>
      </c>
      <c r="E667" s="36">
        <v>90</v>
      </c>
      <c r="F667" s="36">
        <v>60.3</v>
      </c>
      <c r="G667" s="36"/>
      <c r="H667" s="36"/>
      <c r="I667" s="36"/>
      <c r="J667" s="36"/>
      <c r="K667" s="36"/>
    </row>
    <row r="668" spans="1:11" ht="15.75" customHeight="1">
      <c r="A668" s="13">
        <f t="shared" si="26"/>
        <v>664</v>
      </c>
      <c r="B668" s="34" t="s">
        <v>191</v>
      </c>
      <c r="C668" s="37">
        <v>9</v>
      </c>
      <c r="D668" s="36">
        <f t="shared" si="27"/>
        <v>127.3</v>
      </c>
      <c r="E668" s="36">
        <v>127.3</v>
      </c>
      <c r="F668" s="36">
        <v>90.7</v>
      </c>
      <c r="G668" s="36"/>
      <c r="H668" s="36"/>
      <c r="I668" s="36"/>
      <c r="J668" s="36"/>
      <c r="K668" s="36"/>
    </row>
    <row r="669" spans="1:11" ht="15.75" customHeight="1">
      <c r="A669" s="13">
        <f t="shared" si="26"/>
        <v>665</v>
      </c>
      <c r="B669" s="34" t="s">
        <v>191</v>
      </c>
      <c r="C669" s="37">
        <v>10</v>
      </c>
      <c r="D669" s="36">
        <f t="shared" si="27"/>
        <v>105.89999999999999</v>
      </c>
      <c r="E669" s="36">
        <f>97.6+8.3</f>
        <v>105.89999999999999</v>
      </c>
      <c r="F669" s="36">
        <v>73.9</v>
      </c>
      <c r="G669" s="36"/>
      <c r="H669" s="36"/>
      <c r="I669" s="36"/>
      <c r="J669" s="36"/>
      <c r="K669" s="36"/>
    </row>
    <row r="670" spans="1:11" ht="15.75" customHeight="1">
      <c r="A670" s="13">
        <f t="shared" si="26"/>
        <v>666</v>
      </c>
      <c r="B670" s="34" t="s">
        <v>191</v>
      </c>
      <c r="C670" s="37">
        <v>11</v>
      </c>
      <c r="D670" s="36">
        <f t="shared" si="27"/>
        <v>103.8</v>
      </c>
      <c r="E670" s="36">
        <v>103.8</v>
      </c>
      <c r="F670" s="36">
        <v>72.8</v>
      </c>
      <c r="G670" s="36"/>
      <c r="H670" s="36"/>
      <c r="I670" s="36"/>
      <c r="J670" s="36"/>
      <c r="K670" s="36"/>
    </row>
    <row r="671" spans="1:11" ht="15.75" customHeight="1">
      <c r="A671" s="13">
        <f t="shared" si="26"/>
        <v>667</v>
      </c>
      <c r="B671" s="34" t="s">
        <v>191</v>
      </c>
      <c r="C671" s="37">
        <v>12</v>
      </c>
      <c r="D671" s="36">
        <f t="shared" si="27"/>
        <v>84.6</v>
      </c>
      <c r="E671" s="36">
        <v>84.6</v>
      </c>
      <c r="F671" s="36">
        <v>68.6</v>
      </c>
      <c r="G671" s="36"/>
      <c r="H671" s="36"/>
      <c r="I671" s="36"/>
      <c r="J671" s="36"/>
      <c r="K671" s="36"/>
    </row>
    <row r="672" spans="1:11" ht="15.75" customHeight="1">
      <c r="A672" s="13">
        <f t="shared" si="26"/>
        <v>668</v>
      </c>
      <c r="B672" s="34" t="s">
        <v>191</v>
      </c>
      <c r="C672" s="37">
        <v>13</v>
      </c>
      <c r="D672" s="36">
        <f t="shared" si="27"/>
        <v>95.3</v>
      </c>
      <c r="E672" s="36">
        <v>95.3</v>
      </c>
      <c r="F672" s="36">
        <v>58.5</v>
      </c>
      <c r="G672" s="36"/>
      <c r="H672" s="36"/>
      <c r="I672" s="36"/>
      <c r="J672" s="36"/>
      <c r="K672" s="36"/>
    </row>
    <row r="673" spans="1:11" ht="15.75" customHeight="1">
      <c r="A673" s="13">
        <f t="shared" si="26"/>
        <v>669</v>
      </c>
      <c r="B673" s="34" t="s">
        <v>191</v>
      </c>
      <c r="C673" s="37">
        <v>14</v>
      </c>
      <c r="D673" s="36">
        <f t="shared" si="27"/>
        <v>91.8</v>
      </c>
      <c r="E673" s="36">
        <f>86.3+5.5</f>
        <v>91.8</v>
      </c>
      <c r="F673" s="36">
        <v>70</v>
      </c>
      <c r="G673" s="36"/>
      <c r="H673" s="36"/>
      <c r="I673" s="36"/>
      <c r="J673" s="36"/>
      <c r="K673" s="36"/>
    </row>
    <row r="674" spans="1:11" ht="15.75" customHeight="1">
      <c r="A674" s="13">
        <f t="shared" si="26"/>
        <v>670</v>
      </c>
      <c r="B674" s="34" t="s">
        <v>191</v>
      </c>
      <c r="C674" s="37">
        <v>15</v>
      </c>
      <c r="D674" s="36">
        <f t="shared" si="27"/>
        <v>78.7</v>
      </c>
      <c r="E674" s="36">
        <v>78.7</v>
      </c>
      <c r="F674" s="36">
        <v>54.5</v>
      </c>
      <c r="G674" s="36"/>
      <c r="H674" s="36"/>
      <c r="I674" s="36"/>
      <c r="J674" s="36"/>
      <c r="K674" s="36"/>
    </row>
    <row r="675" spans="1:11" ht="15.75" customHeight="1">
      <c r="A675" s="13">
        <f t="shared" si="26"/>
        <v>671</v>
      </c>
      <c r="B675" s="34" t="s">
        <v>191</v>
      </c>
      <c r="C675" s="37">
        <v>16</v>
      </c>
      <c r="D675" s="36">
        <f t="shared" si="27"/>
        <v>108.5</v>
      </c>
      <c r="E675" s="36">
        <v>108.5</v>
      </c>
      <c r="F675" s="36">
        <v>89.3</v>
      </c>
      <c r="G675" s="36"/>
      <c r="H675" s="36"/>
      <c r="I675" s="36"/>
      <c r="J675" s="36"/>
      <c r="K675" s="36"/>
    </row>
    <row r="676" spans="1:11" ht="15.75" customHeight="1">
      <c r="A676" s="13">
        <f t="shared" si="26"/>
        <v>672</v>
      </c>
      <c r="B676" s="34" t="s">
        <v>191</v>
      </c>
      <c r="C676" s="37">
        <v>17</v>
      </c>
      <c r="D676" s="36">
        <f t="shared" si="27"/>
        <v>120.2</v>
      </c>
      <c r="E676" s="36">
        <v>120.2</v>
      </c>
      <c r="F676" s="36">
        <v>93.7</v>
      </c>
      <c r="G676" s="36"/>
      <c r="H676" s="36"/>
      <c r="I676" s="36"/>
      <c r="J676" s="36"/>
      <c r="K676" s="36"/>
    </row>
    <row r="677" spans="1:11" ht="15.75" customHeight="1">
      <c r="A677" s="13">
        <f t="shared" si="26"/>
        <v>673</v>
      </c>
      <c r="B677" s="34" t="s">
        <v>191</v>
      </c>
      <c r="C677" s="37">
        <v>18</v>
      </c>
      <c r="D677" s="36">
        <f t="shared" si="27"/>
        <v>86</v>
      </c>
      <c r="E677" s="36">
        <f>77.2+8.8</f>
        <v>86</v>
      </c>
      <c r="F677" s="36">
        <v>60.8</v>
      </c>
      <c r="G677" s="36"/>
      <c r="H677" s="36"/>
      <c r="I677" s="36"/>
      <c r="J677" s="36"/>
      <c r="K677" s="36"/>
    </row>
    <row r="678" spans="1:11" ht="15.75" customHeight="1">
      <c r="A678" s="13">
        <f t="shared" si="26"/>
        <v>674</v>
      </c>
      <c r="B678" s="34" t="s">
        <v>191</v>
      </c>
      <c r="C678" s="37">
        <v>19</v>
      </c>
      <c r="D678" s="36">
        <f t="shared" si="27"/>
        <v>66.7</v>
      </c>
      <c r="E678" s="36">
        <v>66.7</v>
      </c>
      <c r="F678" s="36">
        <v>51.6</v>
      </c>
      <c r="G678" s="36"/>
      <c r="H678" s="36"/>
      <c r="I678" s="36"/>
      <c r="J678" s="36"/>
      <c r="K678" s="36"/>
    </row>
    <row r="679" spans="1:11" ht="15.75" customHeight="1">
      <c r="A679" s="13">
        <f t="shared" si="26"/>
        <v>675</v>
      </c>
      <c r="B679" s="34" t="s">
        <v>191</v>
      </c>
      <c r="C679" s="37">
        <v>20</v>
      </c>
      <c r="D679" s="36">
        <f t="shared" si="27"/>
        <v>120.7</v>
      </c>
      <c r="E679" s="36">
        <f>107.3+13.4</f>
        <v>120.7</v>
      </c>
      <c r="F679" s="36">
        <v>82.2</v>
      </c>
      <c r="G679" s="36"/>
      <c r="H679" s="36"/>
      <c r="I679" s="36"/>
      <c r="J679" s="36"/>
      <c r="K679" s="36"/>
    </row>
    <row r="680" spans="1:11" ht="15.75" customHeight="1">
      <c r="A680" s="13">
        <f t="shared" si="26"/>
        <v>676</v>
      </c>
      <c r="B680" s="34" t="s">
        <v>191</v>
      </c>
      <c r="C680" s="37">
        <v>25</v>
      </c>
      <c r="D680" s="36">
        <f t="shared" si="27"/>
        <v>98.8</v>
      </c>
      <c r="E680" s="36">
        <v>98.8</v>
      </c>
      <c r="F680" s="36">
        <v>67.5</v>
      </c>
      <c r="G680" s="36"/>
      <c r="H680" s="36"/>
      <c r="I680" s="36"/>
      <c r="J680" s="36"/>
      <c r="K680" s="36"/>
    </row>
    <row r="681" spans="1:11" ht="15.75" customHeight="1">
      <c r="A681" s="13">
        <f t="shared" si="26"/>
        <v>677</v>
      </c>
      <c r="B681" s="34" t="s">
        <v>191</v>
      </c>
      <c r="C681" s="37">
        <v>27</v>
      </c>
      <c r="D681" s="36">
        <f t="shared" si="27"/>
        <v>121.6</v>
      </c>
      <c r="E681" s="36">
        <v>121.6</v>
      </c>
      <c r="F681" s="36">
        <v>86.9</v>
      </c>
      <c r="G681" s="36"/>
      <c r="H681" s="36"/>
      <c r="I681" s="36"/>
      <c r="J681" s="36"/>
      <c r="K681" s="36"/>
    </row>
    <row r="682" spans="1:11" ht="15.75" customHeight="1">
      <c r="A682" s="13">
        <f t="shared" si="26"/>
        <v>678</v>
      </c>
      <c r="B682" s="34" t="s">
        <v>191</v>
      </c>
      <c r="C682" s="37">
        <v>28</v>
      </c>
      <c r="D682" s="36">
        <f t="shared" si="27"/>
        <v>112.4</v>
      </c>
      <c r="E682" s="36">
        <v>112.4</v>
      </c>
      <c r="F682" s="36">
        <v>88.5</v>
      </c>
      <c r="G682" s="36"/>
      <c r="H682" s="36"/>
      <c r="I682" s="36"/>
      <c r="J682" s="36"/>
      <c r="K682" s="36"/>
    </row>
    <row r="683" spans="1:11" ht="15.75" customHeight="1">
      <c r="A683" s="13">
        <f t="shared" si="26"/>
        <v>679</v>
      </c>
      <c r="B683" s="34" t="s">
        <v>191</v>
      </c>
      <c r="C683" s="37">
        <v>29</v>
      </c>
      <c r="D683" s="36">
        <f t="shared" si="27"/>
        <v>120.2</v>
      </c>
      <c r="E683" s="36">
        <v>120.2</v>
      </c>
      <c r="F683" s="36">
        <v>82.5</v>
      </c>
      <c r="G683" s="36"/>
      <c r="H683" s="36"/>
      <c r="I683" s="36"/>
      <c r="J683" s="36"/>
      <c r="K683" s="36"/>
    </row>
    <row r="684" spans="1:11" ht="15.75" customHeight="1">
      <c r="A684" s="13">
        <f t="shared" si="26"/>
        <v>680</v>
      </c>
      <c r="B684" s="34" t="s">
        <v>150</v>
      </c>
      <c r="C684" s="37">
        <v>1</v>
      </c>
      <c r="D684" s="36">
        <f t="shared" si="27"/>
        <v>3279.2999999999997</v>
      </c>
      <c r="E684" s="36">
        <v>2590.5</v>
      </c>
      <c r="F684" s="36">
        <v>1669.6</v>
      </c>
      <c r="G684" s="36">
        <v>682.6</v>
      </c>
      <c r="H684" s="36">
        <v>6.2</v>
      </c>
      <c r="I684" s="36"/>
      <c r="J684" s="36"/>
      <c r="K684" s="36"/>
    </row>
    <row r="685" spans="1:11" ht="15.75" customHeight="1">
      <c r="A685" s="13">
        <f t="shared" si="26"/>
        <v>681</v>
      </c>
      <c r="B685" s="34" t="s">
        <v>150</v>
      </c>
      <c r="C685" s="37">
        <v>2</v>
      </c>
      <c r="D685" s="36">
        <f t="shared" si="27"/>
        <v>465.9</v>
      </c>
      <c r="E685" s="36">
        <v>465.9</v>
      </c>
      <c r="F685" s="36">
        <v>345.9</v>
      </c>
      <c r="G685" s="36"/>
      <c r="H685" s="36"/>
      <c r="I685" s="36"/>
      <c r="J685" s="36"/>
      <c r="K685" s="36"/>
    </row>
    <row r="686" spans="1:11" ht="15.75" customHeight="1">
      <c r="A686" s="13">
        <f t="shared" si="26"/>
        <v>682</v>
      </c>
      <c r="B686" s="34" t="s">
        <v>150</v>
      </c>
      <c r="C686" s="37">
        <v>3</v>
      </c>
      <c r="D686" s="36">
        <f t="shared" si="27"/>
        <v>3269.5</v>
      </c>
      <c r="E686" s="36">
        <v>2552.9</v>
      </c>
      <c r="F686" s="36">
        <v>1776.9</v>
      </c>
      <c r="G686" s="36">
        <v>716.6</v>
      </c>
      <c r="H686" s="36"/>
      <c r="I686" s="36"/>
      <c r="J686" s="36"/>
      <c r="K686" s="36"/>
    </row>
    <row r="687" spans="1:11" ht="15.75" customHeight="1">
      <c r="A687" s="13">
        <f t="shared" si="26"/>
        <v>683</v>
      </c>
      <c r="B687" s="34" t="s">
        <v>150</v>
      </c>
      <c r="C687" s="37">
        <v>4</v>
      </c>
      <c r="D687" s="36">
        <f t="shared" si="27"/>
        <v>479.5</v>
      </c>
      <c r="E687" s="36">
        <v>242.4</v>
      </c>
      <c r="F687" s="36">
        <v>178.8</v>
      </c>
      <c r="G687" s="36">
        <v>237.1</v>
      </c>
      <c r="H687" s="36"/>
      <c r="I687" s="36"/>
      <c r="J687" s="36"/>
      <c r="K687" s="36"/>
    </row>
    <row r="688" spans="1:11" ht="15.75" customHeight="1">
      <c r="A688" s="13">
        <f t="shared" si="26"/>
        <v>684</v>
      </c>
      <c r="B688" s="31" t="s">
        <v>192</v>
      </c>
      <c r="C688" s="15">
        <v>7</v>
      </c>
      <c r="D688" s="16">
        <f t="shared" si="27"/>
        <v>5729.8</v>
      </c>
      <c r="E688" s="18">
        <v>3032.3</v>
      </c>
      <c r="F688" s="13">
        <v>2302</v>
      </c>
      <c r="G688" s="18">
        <v>1759</v>
      </c>
      <c r="H688" s="13">
        <v>938.5</v>
      </c>
      <c r="I688" s="36"/>
      <c r="J688" s="36"/>
      <c r="K688" s="36"/>
    </row>
    <row r="689" spans="1:11" ht="15.75" customHeight="1">
      <c r="A689" s="13">
        <f t="shared" si="26"/>
        <v>685</v>
      </c>
      <c r="B689" s="34" t="s">
        <v>150</v>
      </c>
      <c r="C689" s="37">
        <v>8</v>
      </c>
      <c r="D689" s="36">
        <f t="shared" si="27"/>
        <v>471.3</v>
      </c>
      <c r="E689" s="36">
        <v>471.3</v>
      </c>
      <c r="F689" s="36">
        <v>296</v>
      </c>
      <c r="G689" s="36"/>
      <c r="H689" s="36"/>
      <c r="I689" s="36"/>
      <c r="J689" s="36"/>
      <c r="K689" s="36"/>
    </row>
    <row r="690" spans="1:11" ht="15.75" customHeight="1">
      <c r="A690" s="13">
        <f t="shared" si="26"/>
        <v>686</v>
      </c>
      <c r="B690" s="34" t="s">
        <v>150</v>
      </c>
      <c r="C690" s="37">
        <v>9</v>
      </c>
      <c r="D690" s="36">
        <f t="shared" si="27"/>
        <v>1976.2</v>
      </c>
      <c r="E690" s="36">
        <v>1858.9</v>
      </c>
      <c r="F690" s="36">
        <v>1244.6</v>
      </c>
      <c r="G690" s="36">
        <v>93.6</v>
      </c>
      <c r="H690" s="36">
        <v>23.7</v>
      </c>
      <c r="I690" s="36"/>
      <c r="J690" s="36"/>
      <c r="K690" s="36"/>
    </row>
    <row r="691" spans="1:11" ht="15.75" customHeight="1">
      <c r="A691" s="13">
        <f t="shared" si="26"/>
        <v>687</v>
      </c>
      <c r="B691" s="34" t="s">
        <v>150</v>
      </c>
      <c r="C691" s="37">
        <v>10</v>
      </c>
      <c r="D691" s="36">
        <f t="shared" si="27"/>
        <v>479.8</v>
      </c>
      <c r="E691" s="36">
        <v>479.8</v>
      </c>
      <c r="F691" s="36">
        <v>299.5</v>
      </c>
      <c r="G691" s="36"/>
      <c r="H691" s="36"/>
      <c r="I691" s="36"/>
      <c r="J691" s="36"/>
      <c r="K691" s="36"/>
    </row>
    <row r="692" spans="1:11" ht="15.75" customHeight="1">
      <c r="A692" s="13">
        <f t="shared" si="26"/>
        <v>688</v>
      </c>
      <c r="B692" s="34" t="s">
        <v>150</v>
      </c>
      <c r="C692" s="37">
        <v>11</v>
      </c>
      <c r="D692" s="36">
        <f t="shared" si="27"/>
        <v>2244.7000000000003</v>
      </c>
      <c r="E692" s="36">
        <v>1628.5</v>
      </c>
      <c r="F692" s="36">
        <v>1021.6</v>
      </c>
      <c r="G692" s="36">
        <f>162.6+408.2</f>
        <v>570.8</v>
      </c>
      <c r="H692" s="36">
        <v>45.4</v>
      </c>
      <c r="I692" s="36"/>
      <c r="J692" s="36"/>
      <c r="K692" s="36"/>
    </row>
    <row r="693" spans="1:11" ht="15.75" customHeight="1">
      <c r="A693" s="13">
        <f t="shared" si="26"/>
        <v>689</v>
      </c>
      <c r="B693" s="34" t="s">
        <v>150</v>
      </c>
      <c r="C693" s="37">
        <v>12</v>
      </c>
      <c r="D693" s="36">
        <f t="shared" si="27"/>
        <v>488.9</v>
      </c>
      <c r="E693" s="36">
        <v>488.9</v>
      </c>
      <c r="F693" s="36">
        <v>351.7</v>
      </c>
      <c r="G693" s="36"/>
      <c r="H693" s="36"/>
      <c r="I693" s="36"/>
      <c r="J693" s="36"/>
      <c r="K693" s="36"/>
    </row>
    <row r="694" spans="1:11" ht="15.75" customHeight="1">
      <c r="A694" s="13">
        <f t="shared" si="26"/>
        <v>690</v>
      </c>
      <c r="B694" s="34" t="s">
        <v>150</v>
      </c>
      <c r="C694" s="37">
        <v>13</v>
      </c>
      <c r="D694" s="36">
        <f t="shared" si="27"/>
        <v>1999.8</v>
      </c>
      <c r="E694" s="36">
        <v>1711.6</v>
      </c>
      <c r="F694" s="36">
        <v>1093.5</v>
      </c>
      <c r="G694" s="36"/>
      <c r="H694" s="36">
        <v>288.2</v>
      </c>
      <c r="I694" s="36">
        <v>485.4</v>
      </c>
      <c r="J694" s="36"/>
      <c r="K694" s="36"/>
    </row>
    <row r="695" spans="1:11" ht="15.75" customHeight="1">
      <c r="A695" s="13">
        <f t="shared" si="26"/>
        <v>691</v>
      </c>
      <c r="B695" s="34" t="s">
        <v>150</v>
      </c>
      <c r="C695" s="37">
        <v>14</v>
      </c>
      <c r="D695" s="36">
        <f t="shared" si="27"/>
        <v>486.2</v>
      </c>
      <c r="E695" s="36">
        <v>486.2</v>
      </c>
      <c r="F695" s="36">
        <v>358.3</v>
      </c>
      <c r="G695" s="36"/>
      <c r="H695" s="36"/>
      <c r="I695" s="36">
        <v>75.3</v>
      </c>
      <c r="J695" s="36"/>
      <c r="K695" s="36"/>
    </row>
    <row r="696" spans="1:11" ht="15.75" customHeight="1">
      <c r="A696" s="13">
        <f t="shared" si="26"/>
        <v>692</v>
      </c>
      <c r="B696" s="31" t="s">
        <v>192</v>
      </c>
      <c r="C696" s="15">
        <v>15</v>
      </c>
      <c r="D696" s="16">
        <f t="shared" si="27"/>
        <v>4685.1</v>
      </c>
      <c r="E696" s="18">
        <v>3469.8</v>
      </c>
      <c r="F696" s="13">
        <v>2235.2</v>
      </c>
      <c r="G696" s="18">
        <v>528.6</v>
      </c>
      <c r="H696" s="18">
        <v>686.7</v>
      </c>
      <c r="I696" s="13"/>
      <c r="J696" s="18"/>
      <c r="K696" s="18"/>
    </row>
    <row r="697" spans="1:11" ht="15.75" customHeight="1">
      <c r="A697" s="13">
        <f t="shared" si="26"/>
        <v>693</v>
      </c>
      <c r="B697" s="34" t="s">
        <v>150</v>
      </c>
      <c r="C697" s="37">
        <v>16</v>
      </c>
      <c r="D697" s="36">
        <f t="shared" si="27"/>
        <v>877.3</v>
      </c>
      <c r="E697" s="36">
        <v>877.3</v>
      </c>
      <c r="F697" s="36">
        <v>561.6</v>
      </c>
      <c r="G697" s="36"/>
      <c r="H697" s="36"/>
      <c r="I697" s="36"/>
      <c r="J697" s="36"/>
      <c r="K697" s="36"/>
    </row>
    <row r="698" spans="1:11" ht="15.75" customHeight="1">
      <c r="A698" s="13">
        <f t="shared" si="26"/>
        <v>694</v>
      </c>
      <c r="B698" s="34" t="s">
        <v>150</v>
      </c>
      <c r="C698" s="37">
        <v>18</v>
      </c>
      <c r="D698" s="36">
        <f t="shared" si="27"/>
        <v>853.3</v>
      </c>
      <c r="E698" s="36">
        <v>853.3</v>
      </c>
      <c r="F698" s="36">
        <v>549.8</v>
      </c>
      <c r="G698" s="36"/>
      <c r="H698" s="36"/>
      <c r="I698" s="36"/>
      <c r="J698" s="36"/>
      <c r="K698" s="36"/>
    </row>
    <row r="699" spans="1:11" ht="15.75" customHeight="1">
      <c r="A699" s="13">
        <f t="shared" si="26"/>
        <v>695</v>
      </c>
      <c r="B699" s="34" t="s">
        <v>150</v>
      </c>
      <c r="C699" s="37">
        <v>20</v>
      </c>
      <c r="D699" s="36">
        <f t="shared" si="27"/>
        <v>629.6</v>
      </c>
      <c r="E699" s="36">
        <v>625.5</v>
      </c>
      <c r="F699" s="36">
        <v>325.5</v>
      </c>
      <c r="G699" s="36">
        <v>4.1</v>
      </c>
      <c r="H699" s="36"/>
      <c r="I699" s="36"/>
      <c r="J699" s="36"/>
      <c r="K699" s="36"/>
    </row>
    <row r="700" spans="1:11" ht="15.75" customHeight="1">
      <c r="A700" s="13">
        <f t="shared" si="26"/>
        <v>696</v>
      </c>
      <c r="B700" s="34" t="s">
        <v>150</v>
      </c>
      <c r="C700" s="37">
        <v>22</v>
      </c>
      <c r="D700" s="36">
        <f t="shared" si="27"/>
        <v>619.6</v>
      </c>
      <c r="E700" s="36">
        <v>619.6</v>
      </c>
      <c r="F700" s="36">
        <v>330.2</v>
      </c>
      <c r="G700" s="36"/>
      <c r="H700" s="36"/>
      <c r="I700" s="36">
        <f>296.4+110.9</f>
        <v>407.29999999999995</v>
      </c>
      <c r="J700" s="36"/>
      <c r="K700" s="36"/>
    </row>
    <row r="701" spans="1:11" ht="15.75" customHeight="1">
      <c r="A701" s="13">
        <f t="shared" si="26"/>
        <v>697</v>
      </c>
      <c r="B701" s="34" t="s">
        <v>150</v>
      </c>
      <c r="C701" s="37">
        <v>24</v>
      </c>
      <c r="D701" s="36">
        <f t="shared" si="27"/>
        <v>626</v>
      </c>
      <c r="E701" s="36">
        <f>629-3-4.6</f>
        <v>621.4</v>
      </c>
      <c r="F701" s="36">
        <v>338</v>
      </c>
      <c r="G701" s="36"/>
      <c r="H701" s="36">
        <v>4.6</v>
      </c>
      <c r="I701" s="36"/>
      <c r="J701" s="36"/>
      <c r="K701" s="36"/>
    </row>
    <row r="702" spans="1:11" ht="15.75" customHeight="1">
      <c r="A702" s="13">
        <f t="shared" si="26"/>
        <v>698</v>
      </c>
      <c r="B702" s="34" t="s">
        <v>150</v>
      </c>
      <c r="C702" s="37">
        <v>26</v>
      </c>
      <c r="D702" s="36">
        <f t="shared" si="27"/>
        <v>713.4</v>
      </c>
      <c r="E702" s="36">
        <v>713.4</v>
      </c>
      <c r="F702" s="36">
        <v>408.8</v>
      </c>
      <c r="G702" s="36"/>
      <c r="H702" s="36"/>
      <c r="I702" s="36"/>
      <c r="J702" s="36"/>
      <c r="K702" s="36"/>
    </row>
    <row r="703" spans="1:11" ht="15.75" customHeight="1">
      <c r="A703" s="13">
        <f t="shared" si="26"/>
        <v>699</v>
      </c>
      <c r="B703" s="34" t="s">
        <v>150</v>
      </c>
      <c r="C703" s="37">
        <v>28</v>
      </c>
      <c r="D703" s="36">
        <f t="shared" si="27"/>
        <v>712.3000000000001</v>
      </c>
      <c r="E703" s="36">
        <f>710.2+2.1</f>
        <v>712.3000000000001</v>
      </c>
      <c r="F703" s="36">
        <v>409.4</v>
      </c>
      <c r="G703" s="36"/>
      <c r="H703" s="36"/>
      <c r="I703" s="36"/>
      <c r="J703" s="36"/>
      <c r="K703" s="36"/>
    </row>
    <row r="704" spans="1:11" ht="15.75" customHeight="1">
      <c r="A704" s="13">
        <f t="shared" si="26"/>
        <v>700</v>
      </c>
      <c r="B704" s="34" t="s">
        <v>150</v>
      </c>
      <c r="C704" s="37">
        <v>30</v>
      </c>
      <c r="D704" s="36">
        <f t="shared" si="27"/>
        <v>711.9</v>
      </c>
      <c r="E704" s="36">
        <v>711.9</v>
      </c>
      <c r="F704" s="36">
        <v>412.1</v>
      </c>
      <c r="G704" s="36"/>
      <c r="H704" s="36"/>
      <c r="I704" s="13"/>
      <c r="J704" s="13"/>
      <c r="K704" s="13"/>
    </row>
    <row r="705" spans="1:11" ht="15.75" customHeight="1">
      <c r="A705" s="13">
        <f t="shared" si="26"/>
        <v>701</v>
      </c>
      <c r="B705" s="34" t="s">
        <v>150</v>
      </c>
      <c r="C705" s="37" t="s">
        <v>193</v>
      </c>
      <c r="D705" s="36">
        <f t="shared" si="27"/>
        <v>476.3</v>
      </c>
      <c r="E705" s="36">
        <v>476.3</v>
      </c>
      <c r="F705" s="36">
        <v>296.3</v>
      </c>
      <c r="G705" s="36"/>
      <c r="H705" s="36"/>
      <c r="I705" s="36"/>
      <c r="J705" s="36"/>
      <c r="K705" s="36"/>
    </row>
    <row r="706" spans="1:11" ht="15.75" customHeight="1">
      <c r="A706" s="13">
        <f t="shared" si="26"/>
        <v>702</v>
      </c>
      <c r="B706" s="34" t="s">
        <v>150</v>
      </c>
      <c r="C706" s="37" t="s">
        <v>168</v>
      </c>
      <c r="D706" s="36">
        <f t="shared" si="27"/>
        <v>487.8</v>
      </c>
      <c r="E706" s="36">
        <v>487.8</v>
      </c>
      <c r="F706" s="36">
        <v>319.8</v>
      </c>
      <c r="G706" s="36"/>
      <c r="H706" s="36"/>
      <c r="I706" s="36"/>
      <c r="J706" s="36"/>
      <c r="K706" s="36"/>
    </row>
    <row r="707" spans="1:11" ht="15.75" customHeight="1">
      <c r="A707" s="13">
        <f t="shared" si="26"/>
        <v>703</v>
      </c>
      <c r="B707" s="34" t="s">
        <v>150</v>
      </c>
      <c r="C707" s="37" t="s">
        <v>194</v>
      </c>
      <c r="D707" s="36">
        <f t="shared" si="27"/>
        <v>476.3</v>
      </c>
      <c r="E707" s="36">
        <v>476.3</v>
      </c>
      <c r="F707" s="36">
        <v>310.3</v>
      </c>
      <c r="G707" s="36"/>
      <c r="H707" s="36"/>
      <c r="I707" s="36"/>
      <c r="J707" s="36"/>
      <c r="K707" s="36"/>
    </row>
    <row r="708" spans="1:11" ht="15.75" customHeight="1">
      <c r="A708" s="13">
        <f t="shared" si="26"/>
        <v>704</v>
      </c>
      <c r="B708" s="34" t="s">
        <v>150</v>
      </c>
      <c r="C708" s="37" t="s">
        <v>96</v>
      </c>
      <c r="D708" s="36">
        <f t="shared" si="27"/>
        <v>3009.5</v>
      </c>
      <c r="E708" s="36">
        <f>3009.5-36</f>
        <v>2973.5</v>
      </c>
      <c r="F708" s="36">
        <f>2027.2-28.5</f>
        <v>1998.7</v>
      </c>
      <c r="G708" s="36"/>
      <c r="H708" s="36">
        <v>36</v>
      </c>
      <c r="I708" s="36"/>
      <c r="J708" s="36"/>
      <c r="K708" s="36"/>
    </row>
    <row r="709" spans="1:11" ht="15.75" customHeight="1">
      <c r="A709" s="13">
        <f t="shared" si="26"/>
        <v>705</v>
      </c>
      <c r="B709" s="34" t="s">
        <v>150</v>
      </c>
      <c r="C709" s="37" t="s">
        <v>195</v>
      </c>
      <c r="D709" s="36">
        <f t="shared" si="27"/>
        <v>2054.5</v>
      </c>
      <c r="E709" s="36">
        <v>1994.4</v>
      </c>
      <c r="F709" s="36">
        <v>1264.5</v>
      </c>
      <c r="G709" s="36"/>
      <c r="H709" s="36">
        <v>60.1</v>
      </c>
      <c r="I709" s="36"/>
      <c r="J709" s="36"/>
      <c r="K709" s="36"/>
    </row>
    <row r="710" spans="1:11" ht="15.75" customHeight="1">
      <c r="A710" s="13">
        <f aca="true" t="shared" si="28" ref="A710:A773">A709+1</f>
        <v>706</v>
      </c>
      <c r="B710" s="34" t="s">
        <v>150</v>
      </c>
      <c r="C710" s="37" t="s">
        <v>196</v>
      </c>
      <c r="D710" s="36">
        <f t="shared" si="27"/>
        <v>6245.5999999999985</v>
      </c>
      <c r="E710" s="36">
        <f>6038.7+3.7-0.1</f>
        <v>6042.299999999999</v>
      </c>
      <c r="F710" s="36">
        <v>3294.3</v>
      </c>
      <c r="G710" s="36">
        <v>103.9</v>
      </c>
      <c r="H710" s="36">
        <v>99.4</v>
      </c>
      <c r="I710" s="36"/>
      <c r="J710" s="36"/>
      <c r="K710" s="36"/>
    </row>
    <row r="711" spans="1:11" ht="15.75" customHeight="1">
      <c r="A711" s="13">
        <f t="shared" si="28"/>
        <v>707</v>
      </c>
      <c r="B711" s="34" t="s">
        <v>150</v>
      </c>
      <c r="C711" s="37" t="s">
        <v>154</v>
      </c>
      <c r="D711" s="36">
        <f t="shared" si="27"/>
        <v>11826.899999999998</v>
      </c>
      <c r="E711" s="36">
        <f>11706.8-76.2-1.2</f>
        <v>11629.399999999998</v>
      </c>
      <c r="F711" s="36">
        <f>6911.9-43.2</f>
        <v>6868.7</v>
      </c>
      <c r="G711" s="36">
        <v>76.2</v>
      </c>
      <c r="H711" s="36">
        <v>121.3</v>
      </c>
      <c r="I711" s="36"/>
      <c r="J711" s="36"/>
      <c r="K711" s="36"/>
    </row>
    <row r="712" spans="1:11" ht="15.75" customHeight="1">
      <c r="A712" s="13">
        <f t="shared" si="28"/>
        <v>708</v>
      </c>
      <c r="B712" s="34" t="s">
        <v>150</v>
      </c>
      <c r="C712" s="37" t="s">
        <v>197</v>
      </c>
      <c r="D712" s="36">
        <f t="shared" si="27"/>
        <v>2028.1</v>
      </c>
      <c r="E712" s="36">
        <v>2003.1</v>
      </c>
      <c r="F712" s="36">
        <v>1282.3</v>
      </c>
      <c r="G712" s="36"/>
      <c r="H712" s="36">
        <f>36.7-11.7</f>
        <v>25.000000000000004</v>
      </c>
      <c r="I712" s="36"/>
      <c r="J712" s="36"/>
      <c r="K712" s="36"/>
    </row>
    <row r="713" spans="1:11" ht="15.75" customHeight="1">
      <c r="A713" s="13">
        <f t="shared" si="28"/>
        <v>709</v>
      </c>
      <c r="B713" s="34" t="s">
        <v>150</v>
      </c>
      <c r="C713" s="37" t="s">
        <v>198</v>
      </c>
      <c r="D713" s="36">
        <f t="shared" si="27"/>
        <v>3165.1</v>
      </c>
      <c r="E713" s="36">
        <v>2553</v>
      </c>
      <c r="F713" s="36">
        <v>1684.6</v>
      </c>
      <c r="G713" s="36">
        <v>612.1</v>
      </c>
      <c r="H713" s="36"/>
      <c r="I713" s="36"/>
      <c r="J713" s="36"/>
      <c r="K713" s="36"/>
    </row>
    <row r="714" spans="1:11" ht="15.75" customHeight="1">
      <c r="A714" s="13">
        <f t="shared" si="28"/>
        <v>710</v>
      </c>
      <c r="B714" s="34" t="s">
        <v>150</v>
      </c>
      <c r="C714" s="37" t="s">
        <v>199</v>
      </c>
      <c r="D714" s="36">
        <f t="shared" si="27"/>
        <v>367.8</v>
      </c>
      <c r="E714" s="36">
        <v>367.8</v>
      </c>
      <c r="F714" s="36">
        <v>246.3</v>
      </c>
      <c r="G714" s="36"/>
      <c r="H714" s="36"/>
      <c r="I714" s="36"/>
      <c r="J714" s="36"/>
      <c r="K714" s="36"/>
    </row>
    <row r="715" spans="1:11" ht="15.75" customHeight="1">
      <c r="A715" s="13">
        <f t="shared" si="28"/>
        <v>711</v>
      </c>
      <c r="B715" s="34" t="s">
        <v>150</v>
      </c>
      <c r="C715" s="37" t="s">
        <v>200</v>
      </c>
      <c r="D715" s="36">
        <f t="shared" si="27"/>
        <v>357.4</v>
      </c>
      <c r="E715" s="36">
        <f>351.4+6</f>
        <v>357.4</v>
      </c>
      <c r="F715" s="36">
        <v>227.7</v>
      </c>
      <c r="G715" s="36"/>
      <c r="H715" s="36"/>
      <c r="I715" s="36"/>
      <c r="J715" s="36"/>
      <c r="K715" s="36"/>
    </row>
    <row r="716" spans="1:11" ht="15.75" customHeight="1">
      <c r="A716" s="13">
        <f t="shared" si="28"/>
        <v>712</v>
      </c>
      <c r="B716" s="34" t="s">
        <v>201</v>
      </c>
      <c r="C716" s="37">
        <v>3</v>
      </c>
      <c r="D716" s="36">
        <f t="shared" si="27"/>
        <v>59.5</v>
      </c>
      <c r="E716" s="36">
        <v>59.5</v>
      </c>
      <c r="F716" s="36">
        <v>28.4</v>
      </c>
      <c r="G716" s="36"/>
      <c r="H716" s="36"/>
      <c r="I716" s="36"/>
      <c r="J716" s="36"/>
      <c r="K716" s="36"/>
    </row>
    <row r="717" spans="1:11" ht="15.75" customHeight="1">
      <c r="A717" s="13">
        <f t="shared" si="28"/>
        <v>713</v>
      </c>
      <c r="B717" s="34" t="s">
        <v>202</v>
      </c>
      <c r="C717" s="37">
        <v>3</v>
      </c>
      <c r="D717" s="36">
        <f t="shared" si="27"/>
        <v>3222.8</v>
      </c>
      <c r="E717" s="36">
        <v>3181.3</v>
      </c>
      <c r="F717" s="36">
        <v>1877.6</v>
      </c>
      <c r="G717" s="36"/>
      <c r="H717" s="36">
        <v>41.5</v>
      </c>
      <c r="I717" s="36"/>
      <c r="J717" s="36"/>
      <c r="K717" s="36"/>
    </row>
    <row r="718" spans="1:11" ht="15.75" customHeight="1">
      <c r="A718" s="13">
        <f t="shared" si="28"/>
        <v>714</v>
      </c>
      <c r="B718" s="34" t="s">
        <v>202</v>
      </c>
      <c r="C718" s="37">
        <v>5</v>
      </c>
      <c r="D718" s="36">
        <f t="shared" si="27"/>
        <v>3199.4</v>
      </c>
      <c r="E718" s="36">
        <v>3164.6</v>
      </c>
      <c r="F718" s="36">
        <v>1884.1</v>
      </c>
      <c r="G718" s="36"/>
      <c r="H718" s="36">
        <v>34.8</v>
      </c>
      <c r="I718" s="36">
        <v>88.5</v>
      </c>
      <c r="J718" s="36"/>
      <c r="K718" s="36"/>
    </row>
    <row r="719" spans="1:11" ht="15.75" customHeight="1">
      <c r="A719" s="13">
        <f t="shared" si="28"/>
        <v>715</v>
      </c>
      <c r="B719" s="34" t="s">
        <v>202</v>
      </c>
      <c r="C719" s="37">
        <v>7</v>
      </c>
      <c r="D719" s="36">
        <f t="shared" si="27"/>
        <v>4230.4</v>
      </c>
      <c r="E719" s="36">
        <v>2743.1</v>
      </c>
      <c r="F719" s="36">
        <v>1888.7</v>
      </c>
      <c r="G719" s="36">
        <v>1471.6</v>
      </c>
      <c r="H719" s="36">
        <v>15.7</v>
      </c>
      <c r="I719" s="36">
        <v>15.1</v>
      </c>
      <c r="J719" s="36"/>
      <c r="K719" s="36"/>
    </row>
    <row r="720" spans="1:11" ht="15.75" customHeight="1">
      <c r="A720" s="13">
        <f t="shared" si="28"/>
        <v>716</v>
      </c>
      <c r="B720" s="34" t="s">
        <v>202</v>
      </c>
      <c r="C720" s="37">
        <v>20</v>
      </c>
      <c r="D720" s="36">
        <f t="shared" si="27"/>
        <v>69.2</v>
      </c>
      <c r="E720" s="36">
        <v>69.2</v>
      </c>
      <c r="F720" s="36">
        <v>47</v>
      </c>
      <c r="G720" s="36"/>
      <c r="H720" s="36"/>
      <c r="I720" s="36"/>
      <c r="J720" s="36"/>
      <c r="K720" s="36"/>
    </row>
    <row r="721" spans="1:11" ht="15.75" customHeight="1">
      <c r="A721" s="13">
        <f t="shared" si="28"/>
        <v>717</v>
      </c>
      <c r="B721" s="34" t="s">
        <v>202</v>
      </c>
      <c r="C721" s="37">
        <v>34</v>
      </c>
      <c r="D721" s="36">
        <f aca="true" t="shared" si="29" ref="D721:D743">E721+G721+H721</f>
        <v>38.7</v>
      </c>
      <c r="E721" s="36">
        <v>38.7</v>
      </c>
      <c r="F721" s="36">
        <v>19.8</v>
      </c>
      <c r="G721" s="36"/>
      <c r="H721" s="36"/>
      <c r="I721" s="36">
        <f>159.1+373.7+33.9+47</f>
        <v>613.6999999999999</v>
      </c>
      <c r="J721" s="36"/>
      <c r="K721" s="36"/>
    </row>
    <row r="722" spans="1:11" ht="15.75" customHeight="1">
      <c r="A722" s="13">
        <f t="shared" si="28"/>
        <v>718</v>
      </c>
      <c r="B722" s="34" t="s">
        <v>202</v>
      </c>
      <c r="C722" s="37">
        <v>44</v>
      </c>
      <c r="D722" s="36">
        <f t="shared" si="29"/>
        <v>116.5</v>
      </c>
      <c r="E722" s="36">
        <v>116.5</v>
      </c>
      <c r="F722" s="36">
        <v>92.9</v>
      </c>
      <c r="G722" s="36"/>
      <c r="H722" s="36"/>
      <c r="I722" s="36"/>
      <c r="J722" s="36"/>
      <c r="K722" s="36"/>
    </row>
    <row r="723" spans="1:11" ht="15.75" customHeight="1">
      <c r="A723" s="13">
        <f t="shared" si="28"/>
        <v>719</v>
      </c>
      <c r="B723" s="34" t="s">
        <v>202</v>
      </c>
      <c r="C723" s="37">
        <v>46</v>
      </c>
      <c r="D723" s="36">
        <f t="shared" si="29"/>
        <v>75.5</v>
      </c>
      <c r="E723" s="36">
        <v>75.5</v>
      </c>
      <c r="F723" s="36">
        <v>60.6</v>
      </c>
      <c r="G723" s="36"/>
      <c r="H723" s="36"/>
      <c r="I723" s="36"/>
      <c r="J723" s="36"/>
      <c r="K723" s="36"/>
    </row>
    <row r="724" spans="1:11" ht="15.75" customHeight="1">
      <c r="A724" s="13">
        <f t="shared" si="28"/>
        <v>720</v>
      </c>
      <c r="B724" s="34" t="s">
        <v>202</v>
      </c>
      <c r="C724" s="37">
        <v>50</v>
      </c>
      <c r="D724" s="36">
        <f t="shared" si="29"/>
        <v>101.4</v>
      </c>
      <c r="E724" s="36">
        <f>100.4+1</f>
        <v>101.4</v>
      </c>
      <c r="F724" s="36">
        <v>74.7</v>
      </c>
      <c r="G724" s="36"/>
      <c r="H724" s="36"/>
      <c r="I724" s="36"/>
      <c r="J724" s="36"/>
      <c r="K724" s="36"/>
    </row>
    <row r="725" spans="1:11" ht="15.75" customHeight="1">
      <c r="A725" s="13">
        <f t="shared" si="28"/>
        <v>721</v>
      </c>
      <c r="B725" s="34" t="s">
        <v>202</v>
      </c>
      <c r="C725" s="37">
        <v>52</v>
      </c>
      <c r="D725" s="36">
        <f t="shared" si="29"/>
        <v>83.4</v>
      </c>
      <c r="E725" s="36">
        <v>83.4</v>
      </c>
      <c r="F725" s="36">
        <v>61.9</v>
      </c>
      <c r="G725" s="36"/>
      <c r="H725" s="36"/>
      <c r="I725" s="36"/>
      <c r="J725" s="36"/>
      <c r="K725" s="36"/>
    </row>
    <row r="726" spans="1:11" ht="15.75" customHeight="1">
      <c r="A726" s="13">
        <f t="shared" si="28"/>
        <v>722</v>
      </c>
      <c r="B726" s="34" t="s">
        <v>202</v>
      </c>
      <c r="C726" s="37">
        <v>54</v>
      </c>
      <c r="D726" s="36">
        <f t="shared" si="29"/>
        <v>66.5</v>
      </c>
      <c r="E726" s="36">
        <v>66.5</v>
      </c>
      <c r="F726" s="36">
        <v>51.9</v>
      </c>
      <c r="G726" s="36"/>
      <c r="H726" s="36"/>
      <c r="I726" s="36"/>
      <c r="J726" s="36"/>
      <c r="K726" s="36"/>
    </row>
    <row r="727" spans="1:11" ht="15.75" customHeight="1">
      <c r="A727" s="13">
        <f t="shared" si="28"/>
        <v>723</v>
      </c>
      <c r="B727" s="34" t="s">
        <v>202</v>
      </c>
      <c r="C727" s="37">
        <v>58</v>
      </c>
      <c r="D727" s="36">
        <f t="shared" si="29"/>
        <v>124.9</v>
      </c>
      <c r="E727" s="36">
        <v>124.9</v>
      </c>
      <c r="F727" s="36">
        <v>98.2</v>
      </c>
      <c r="G727" s="36"/>
      <c r="H727" s="36"/>
      <c r="I727" s="36">
        <v>1471.6</v>
      </c>
      <c r="J727" s="36"/>
      <c r="K727" s="36"/>
    </row>
    <row r="728" spans="1:11" ht="15.75" customHeight="1">
      <c r="A728" s="13">
        <f t="shared" si="28"/>
        <v>724</v>
      </c>
      <c r="B728" s="34" t="s">
        <v>202</v>
      </c>
      <c r="C728" s="37">
        <v>62</v>
      </c>
      <c r="D728" s="36">
        <f t="shared" si="29"/>
        <v>135.6</v>
      </c>
      <c r="E728" s="36">
        <v>135.6</v>
      </c>
      <c r="F728" s="36">
        <v>75.5</v>
      </c>
      <c r="G728" s="36"/>
      <c r="H728" s="36"/>
      <c r="I728" s="36"/>
      <c r="J728" s="36"/>
      <c r="K728" s="36"/>
    </row>
    <row r="729" spans="1:11" ht="15.75" customHeight="1">
      <c r="A729" s="13">
        <f t="shared" si="28"/>
        <v>725</v>
      </c>
      <c r="B729" s="34" t="s">
        <v>202</v>
      </c>
      <c r="C729" s="37">
        <v>66</v>
      </c>
      <c r="D729" s="36">
        <f t="shared" si="29"/>
        <v>88.4</v>
      </c>
      <c r="E729" s="36">
        <v>88.4</v>
      </c>
      <c r="F729" s="36">
        <v>72.8</v>
      </c>
      <c r="G729" s="36"/>
      <c r="H729" s="36"/>
      <c r="I729" s="36"/>
      <c r="J729" s="36"/>
      <c r="K729" s="36"/>
    </row>
    <row r="730" spans="1:11" ht="15.75" customHeight="1">
      <c r="A730" s="13">
        <f t="shared" si="28"/>
        <v>726</v>
      </c>
      <c r="B730" s="34" t="s">
        <v>202</v>
      </c>
      <c r="C730" s="37">
        <v>70</v>
      </c>
      <c r="D730" s="36">
        <f t="shared" si="29"/>
        <v>66.3</v>
      </c>
      <c r="E730" s="36">
        <v>66.3</v>
      </c>
      <c r="F730" s="36">
        <v>49.8</v>
      </c>
      <c r="G730" s="36"/>
      <c r="H730" s="36"/>
      <c r="I730" s="36"/>
      <c r="J730" s="36"/>
      <c r="K730" s="36"/>
    </row>
    <row r="731" spans="1:11" ht="15.75" customHeight="1">
      <c r="A731" s="13">
        <f t="shared" si="28"/>
        <v>727</v>
      </c>
      <c r="B731" s="34" t="s">
        <v>202</v>
      </c>
      <c r="C731" s="37" t="s">
        <v>96</v>
      </c>
      <c r="D731" s="36">
        <f t="shared" si="29"/>
        <v>3218</v>
      </c>
      <c r="E731" s="36">
        <v>3175.3</v>
      </c>
      <c r="F731" s="36">
        <v>1869</v>
      </c>
      <c r="G731" s="36"/>
      <c r="H731" s="36">
        <v>42.7</v>
      </c>
      <c r="I731" s="36"/>
      <c r="J731" s="36"/>
      <c r="K731" s="36"/>
    </row>
    <row r="732" spans="1:11" ht="15.75" customHeight="1">
      <c r="A732" s="13">
        <f t="shared" si="28"/>
        <v>728</v>
      </c>
      <c r="B732" s="34" t="s">
        <v>202</v>
      </c>
      <c r="C732" s="37" t="s">
        <v>195</v>
      </c>
      <c r="D732" s="36">
        <f t="shared" si="29"/>
        <v>3290.6</v>
      </c>
      <c r="E732" s="36">
        <v>3290.6</v>
      </c>
      <c r="F732" s="36">
        <v>1878.6</v>
      </c>
      <c r="G732" s="36"/>
      <c r="H732" s="36"/>
      <c r="I732" s="36"/>
      <c r="J732" s="36"/>
      <c r="K732" s="36"/>
    </row>
    <row r="733" spans="1:11" ht="15.75" customHeight="1">
      <c r="A733" s="13">
        <f t="shared" si="28"/>
        <v>729</v>
      </c>
      <c r="B733" s="34" t="s">
        <v>202</v>
      </c>
      <c r="C733" s="37" t="s">
        <v>196</v>
      </c>
      <c r="D733" s="36">
        <f t="shared" si="29"/>
        <v>3322.6</v>
      </c>
      <c r="E733" s="36">
        <f>3322.6</f>
        <v>3322.6</v>
      </c>
      <c r="F733" s="36">
        <v>1909.5</v>
      </c>
      <c r="G733" s="36"/>
      <c r="H733" s="36"/>
      <c r="I733" s="36"/>
      <c r="J733" s="36"/>
      <c r="K733" s="36"/>
    </row>
    <row r="734" spans="1:11" ht="15.75" customHeight="1">
      <c r="A734" s="13">
        <f t="shared" si="28"/>
        <v>730</v>
      </c>
      <c r="B734" s="34" t="s">
        <v>203</v>
      </c>
      <c r="C734" s="37">
        <v>1</v>
      </c>
      <c r="D734" s="36">
        <f t="shared" si="29"/>
        <v>516.6</v>
      </c>
      <c r="E734" s="36">
        <v>516.6</v>
      </c>
      <c r="F734" s="36">
        <v>328.2</v>
      </c>
      <c r="G734" s="36"/>
      <c r="H734" s="36"/>
      <c r="I734" s="36"/>
      <c r="J734" s="36"/>
      <c r="K734" s="36"/>
    </row>
    <row r="735" spans="1:11" ht="15.75" customHeight="1">
      <c r="A735" s="13">
        <f t="shared" si="28"/>
        <v>731</v>
      </c>
      <c r="B735" s="34" t="s">
        <v>203</v>
      </c>
      <c r="C735" s="37">
        <v>3</v>
      </c>
      <c r="D735" s="36">
        <f t="shared" si="29"/>
        <v>529.1</v>
      </c>
      <c r="E735" s="36">
        <v>529.1</v>
      </c>
      <c r="F735" s="36">
        <v>335.6</v>
      </c>
      <c r="G735" s="36"/>
      <c r="H735" s="36"/>
      <c r="I735" s="36"/>
      <c r="J735" s="36"/>
      <c r="K735" s="36"/>
    </row>
    <row r="736" spans="1:11" ht="15.75" customHeight="1">
      <c r="A736" s="13">
        <f t="shared" si="28"/>
        <v>732</v>
      </c>
      <c r="B736" s="34" t="s">
        <v>203</v>
      </c>
      <c r="C736" s="37">
        <v>5</v>
      </c>
      <c r="D736" s="36">
        <f t="shared" si="29"/>
        <v>387.3</v>
      </c>
      <c r="E736" s="36">
        <v>387.3</v>
      </c>
      <c r="F736" s="36">
        <v>272.3</v>
      </c>
      <c r="G736" s="36"/>
      <c r="H736" s="36"/>
      <c r="I736" s="36"/>
      <c r="J736" s="36"/>
      <c r="K736" s="36"/>
    </row>
    <row r="737" spans="1:11" ht="15.75" customHeight="1">
      <c r="A737" s="13">
        <f t="shared" si="28"/>
        <v>733</v>
      </c>
      <c r="B737" s="34" t="s">
        <v>203</v>
      </c>
      <c r="C737" s="37">
        <v>6</v>
      </c>
      <c r="D737" s="36">
        <f t="shared" si="29"/>
        <v>383.3</v>
      </c>
      <c r="E737" s="36">
        <v>383.3</v>
      </c>
      <c r="F737" s="36">
        <v>266.7</v>
      </c>
      <c r="G737" s="36"/>
      <c r="H737" s="36"/>
      <c r="I737" s="36"/>
      <c r="J737" s="36"/>
      <c r="K737" s="36"/>
    </row>
    <row r="738" spans="1:11" ht="15.75" customHeight="1">
      <c r="A738" s="13">
        <f t="shared" si="28"/>
        <v>734</v>
      </c>
      <c r="B738" s="34" t="s">
        <v>203</v>
      </c>
      <c r="C738" s="37">
        <v>7</v>
      </c>
      <c r="D738" s="36">
        <f t="shared" si="29"/>
        <v>3239.9</v>
      </c>
      <c r="E738" s="36">
        <v>3223.1</v>
      </c>
      <c r="F738" s="36">
        <v>1912.4</v>
      </c>
      <c r="G738" s="36"/>
      <c r="H738" s="36">
        <v>16.8</v>
      </c>
      <c r="I738" s="36"/>
      <c r="J738" s="36"/>
      <c r="K738" s="36"/>
    </row>
    <row r="739" spans="1:11" ht="15.75" customHeight="1">
      <c r="A739" s="13">
        <f t="shared" si="28"/>
        <v>735</v>
      </c>
      <c r="B739" s="34" t="s">
        <v>203</v>
      </c>
      <c r="C739" s="37">
        <v>8</v>
      </c>
      <c r="D739" s="36">
        <f t="shared" si="29"/>
        <v>340.3</v>
      </c>
      <c r="E739" s="36">
        <v>340.3</v>
      </c>
      <c r="F739" s="36">
        <v>255</v>
      </c>
      <c r="G739" s="36"/>
      <c r="H739" s="36"/>
      <c r="I739" s="36"/>
      <c r="J739" s="36"/>
      <c r="K739" s="36"/>
    </row>
    <row r="740" spans="1:11" ht="15.75" customHeight="1">
      <c r="A740" s="13">
        <f t="shared" si="28"/>
        <v>736</v>
      </c>
      <c r="B740" s="34" t="s">
        <v>203</v>
      </c>
      <c r="C740" s="37">
        <v>9</v>
      </c>
      <c r="D740" s="36">
        <f t="shared" si="29"/>
        <v>335.3</v>
      </c>
      <c r="E740" s="36">
        <v>335.3</v>
      </c>
      <c r="F740" s="36">
        <v>253.8</v>
      </c>
      <c r="G740" s="36"/>
      <c r="H740" s="36"/>
      <c r="I740" s="36"/>
      <c r="J740" s="36"/>
      <c r="K740" s="36"/>
    </row>
    <row r="741" spans="1:11" ht="15.75" customHeight="1">
      <c r="A741" s="13">
        <f t="shared" si="28"/>
        <v>737</v>
      </c>
      <c r="B741" s="34" t="s">
        <v>203</v>
      </c>
      <c r="C741" s="37">
        <v>10</v>
      </c>
      <c r="D741" s="36">
        <f t="shared" si="29"/>
        <v>944.1</v>
      </c>
      <c r="E741" s="36">
        <v>944.1</v>
      </c>
      <c r="F741" s="36">
        <v>618.6</v>
      </c>
      <c r="G741" s="36"/>
      <c r="H741" s="36"/>
      <c r="I741" s="36"/>
      <c r="J741" s="36"/>
      <c r="K741" s="36"/>
    </row>
    <row r="742" spans="1:11" ht="15.75" customHeight="1">
      <c r="A742" s="13">
        <f t="shared" si="28"/>
        <v>738</v>
      </c>
      <c r="B742" s="34" t="s">
        <v>203</v>
      </c>
      <c r="C742" s="37">
        <v>11</v>
      </c>
      <c r="D742" s="36">
        <f t="shared" si="29"/>
        <v>945.8</v>
      </c>
      <c r="E742" s="36">
        <v>698.6</v>
      </c>
      <c r="F742" s="36">
        <v>456</v>
      </c>
      <c r="G742" s="36">
        <v>247.2</v>
      </c>
      <c r="H742" s="36"/>
      <c r="I742" s="36"/>
      <c r="J742" s="36"/>
      <c r="K742" s="36"/>
    </row>
    <row r="743" spans="1:11" ht="15.75" customHeight="1">
      <c r="A743" s="13">
        <f t="shared" si="28"/>
        <v>739</v>
      </c>
      <c r="B743" s="34" t="s">
        <v>203</v>
      </c>
      <c r="C743" s="37">
        <v>12</v>
      </c>
      <c r="D743" s="36">
        <f t="shared" si="29"/>
        <v>1257.4</v>
      </c>
      <c r="E743" s="36">
        <v>1257.4</v>
      </c>
      <c r="F743" s="36">
        <v>828.1</v>
      </c>
      <c r="G743" s="36"/>
      <c r="H743" s="36"/>
      <c r="I743" s="36"/>
      <c r="J743" s="36"/>
      <c r="K743" s="36"/>
    </row>
    <row r="744" spans="1:11" ht="15.75" customHeight="1">
      <c r="A744" s="13">
        <f t="shared" si="28"/>
        <v>740</v>
      </c>
      <c r="B744" s="34" t="s">
        <v>203</v>
      </c>
      <c r="C744" s="37">
        <v>13</v>
      </c>
      <c r="D744" s="36">
        <f>E744+G744+H744</f>
        <v>3091.2</v>
      </c>
      <c r="E744" s="36">
        <v>3091.2</v>
      </c>
      <c r="F744" s="36">
        <v>2045.6</v>
      </c>
      <c r="G744" s="36"/>
      <c r="H744" s="36"/>
      <c r="I744" s="36"/>
      <c r="J744" s="36"/>
      <c r="K744" s="36"/>
    </row>
    <row r="745" spans="1:11" ht="15.75" customHeight="1">
      <c r="A745" s="13">
        <f t="shared" si="28"/>
        <v>741</v>
      </c>
      <c r="B745" s="34" t="s">
        <v>203</v>
      </c>
      <c r="C745" s="37">
        <v>14</v>
      </c>
      <c r="D745" s="36">
        <v>462.3</v>
      </c>
      <c r="E745" s="36">
        <v>462.3</v>
      </c>
      <c r="F745" s="36">
        <v>300.3</v>
      </c>
      <c r="G745" s="36"/>
      <c r="H745" s="36"/>
      <c r="I745" s="36"/>
      <c r="J745" s="36"/>
      <c r="K745" s="36"/>
    </row>
    <row r="746" spans="1:11" ht="15.75" customHeight="1">
      <c r="A746" s="13">
        <f t="shared" si="28"/>
        <v>742</v>
      </c>
      <c r="B746" s="34" t="s">
        <v>204</v>
      </c>
      <c r="C746" s="37">
        <v>1</v>
      </c>
      <c r="D746" s="36">
        <f aca="true" t="shared" si="30" ref="D746:D809">E746+G746+H746</f>
        <v>86.6</v>
      </c>
      <c r="E746" s="36">
        <f>86.5+0.1</f>
        <v>86.6</v>
      </c>
      <c r="F746" s="36">
        <v>60.3</v>
      </c>
      <c r="G746" s="36"/>
      <c r="H746" s="36"/>
      <c r="I746" s="36"/>
      <c r="J746" s="36"/>
      <c r="K746" s="36"/>
    </row>
    <row r="747" spans="1:11" ht="15.75" customHeight="1">
      <c r="A747" s="13">
        <f t="shared" si="28"/>
        <v>743</v>
      </c>
      <c r="B747" s="34" t="s">
        <v>204</v>
      </c>
      <c r="C747" s="37">
        <v>2</v>
      </c>
      <c r="D747" s="36">
        <f t="shared" si="30"/>
        <v>70.1</v>
      </c>
      <c r="E747" s="36">
        <v>70.1</v>
      </c>
      <c r="F747" s="36">
        <v>53</v>
      </c>
      <c r="G747" s="36"/>
      <c r="H747" s="36"/>
      <c r="I747" s="36"/>
      <c r="J747" s="36"/>
      <c r="K747" s="36"/>
    </row>
    <row r="748" spans="1:11" ht="15.75" customHeight="1">
      <c r="A748" s="13">
        <f t="shared" si="28"/>
        <v>744</v>
      </c>
      <c r="B748" s="34" t="s">
        <v>204</v>
      </c>
      <c r="C748" s="37">
        <v>3</v>
      </c>
      <c r="D748" s="36">
        <f t="shared" si="30"/>
        <v>90</v>
      </c>
      <c r="E748" s="36">
        <v>90</v>
      </c>
      <c r="F748" s="36">
        <v>64.3</v>
      </c>
      <c r="G748" s="36"/>
      <c r="H748" s="36"/>
      <c r="I748" s="36"/>
      <c r="J748" s="36"/>
      <c r="K748" s="36"/>
    </row>
    <row r="749" spans="1:11" ht="15.75" customHeight="1">
      <c r="A749" s="13">
        <f t="shared" si="28"/>
        <v>745</v>
      </c>
      <c r="B749" s="34" t="s">
        <v>204</v>
      </c>
      <c r="C749" s="37">
        <v>4</v>
      </c>
      <c r="D749" s="36">
        <f t="shared" si="30"/>
        <v>116.5</v>
      </c>
      <c r="E749" s="36">
        <f>69.3+40.7+6.5</f>
        <v>116.5</v>
      </c>
      <c r="F749" s="36">
        <v>52.5</v>
      </c>
      <c r="G749" s="36"/>
      <c r="H749" s="36"/>
      <c r="I749" s="36"/>
      <c r="J749" s="36"/>
      <c r="K749" s="36"/>
    </row>
    <row r="750" spans="1:11" ht="15.75" customHeight="1">
      <c r="A750" s="13">
        <f t="shared" si="28"/>
        <v>746</v>
      </c>
      <c r="B750" s="34" t="s">
        <v>204</v>
      </c>
      <c r="C750" s="37">
        <v>5</v>
      </c>
      <c r="D750" s="36">
        <f t="shared" si="30"/>
        <v>133.8</v>
      </c>
      <c r="E750" s="36">
        <v>133.8</v>
      </c>
      <c r="F750" s="36">
        <v>88.1</v>
      </c>
      <c r="G750" s="36"/>
      <c r="H750" s="36"/>
      <c r="I750" s="36"/>
      <c r="J750" s="36"/>
      <c r="K750" s="36"/>
    </row>
    <row r="751" spans="1:11" ht="15.75" customHeight="1">
      <c r="A751" s="13">
        <f t="shared" si="28"/>
        <v>747</v>
      </c>
      <c r="B751" s="34" t="s">
        <v>204</v>
      </c>
      <c r="C751" s="37">
        <v>6</v>
      </c>
      <c r="D751" s="36">
        <f t="shared" si="30"/>
        <v>79.7</v>
      </c>
      <c r="E751" s="36">
        <v>79.7</v>
      </c>
      <c r="F751" s="36">
        <v>58.2</v>
      </c>
      <c r="G751" s="36"/>
      <c r="H751" s="36"/>
      <c r="I751" s="36"/>
      <c r="J751" s="36"/>
      <c r="K751" s="36"/>
    </row>
    <row r="752" spans="1:11" ht="15.75" customHeight="1">
      <c r="A752" s="13">
        <f t="shared" si="28"/>
        <v>748</v>
      </c>
      <c r="B752" s="34" t="s">
        <v>204</v>
      </c>
      <c r="C752" s="37">
        <v>7</v>
      </c>
      <c r="D752" s="36">
        <f t="shared" si="30"/>
        <v>66.9</v>
      </c>
      <c r="E752" s="36">
        <v>66.9</v>
      </c>
      <c r="F752" s="36">
        <v>50.1</v>
      </c>
      <c r="G752" s="36"/>
      <c r="H752" s="36"/>
      <c r="I752" s="36"/>
      <c r="J752" s="36"/>
      <c r="K752" s="36"/>
    </row>
    <row r="753" spans="1:11" ht="15.75" customHeight="1">
      <c r="A753" s="13">
        <f t="shared" si="28"/>
        <v>749</v>
      </c>
      <c r="B753" s="34" t="s">
        <v>204</v>
      </c>
      <c r="C753" s="37">
        <v>8</v>
      </c>
      <c r="D753" s="36">
        <f t="shared" si="30"/>
        <v>110.2</v>
      </c>
      <c r="E753" s="36">
        <v>110.2</v>
      </c>
      <c r="F753" s="36">
        <v>86</v>
      </c>
      <c r="G753" s="36"/>
      <c r="H753" s="36"/>
      <c r="I753" s="36"/>
      <c r="J753" s="36"/>
      <c r="K753" s="36"/>
    </row>
    <row r="754" spans="1:11" ht="15.75" customHeight="1">
      <c r="A754" s="13">
        <f t="shared" si="28"/>
        <v>750</v>
      </c>
      <c r="B754" s="34" t="s">
        <v>204</v>
      </c>
      <c r="C754" s="37">
        <v>9</v>
      </c>
      <c r="D754" s="36">
        <f t="shared" si="30"/>
        <v>69.7</v>
      </c>
      <c r="E754" s="36">
        <v>69.7</v>
      </c>
      <c r="F754" s="36">
        <v>53.3</v>
      </c>
      <c r="G754" s="36"/>
      <c r="H754" s="36"/>
      <c r="I754" s="36"/>
      <c r="J754" s="36"/>
      <c r="K754" s="36"/>
    </row>
    <row r="755" spans="1:11" ht="15.75" customHeight="1">
      <c r="A755" s="13">
        <f t="shared" si="28"/>
        <v>751</v>
      </c>
      <c r="B755" s="34" t="s">
        <v>204</v>
      </c>
      <c r="C755" s="37">
        <v>10</v>
      </c>
      <c r="D755" s="36">
        <f t="shared" si="30"/>
        <v>81</v>
      </c>
      <c r="E755" s="36">
        <v>81</v>
      </c>
      <c r="F755" s="36">
        <v>60.7</v>
      </c>
      <c r="G755" s="36"/>
      <c r="H755" s="36"/>
      <c r="I755" s="36"/>
      <c r="J755" s="36"/>
      <c r="K755" s="36"/>
    </row>
    <row r="756" spans="1:11" ht="15.75" customHeight="1">
      <c r="A756" s="13">
        <f t="shared" si="28"/>
        <v>752</v>
      </c>
      <c r="B756" s="34" t="s">
        <v>204</v>
      </c>
      <c r="C756" s="37">
        <v>11</v>
      </c>
      <c r="D756" s="36">
        <f t="shared" si="30"/>
        <v>86.1</v>
      </c>
      <c r="E756" s="36">
        <v>86.1</v>
      </c>
      <c r="F756" s="36">
        <v>62.4</v>
      </c>
      <c r="G756" s="36"/>
      <c r="H756" s="36"/>
      <c r="I756" s="36"/>
      <c r="J756" s="36"/>
      <c r="K756" s="36"/>
    </row>
    <row r="757" spans="1:11" ht="15.75" customHeight="1">
      <c r="A757" s="13">
        <f t="shared" si="28"/>
        <v>753</v>
      </c>
      <c r="B757" s="34" t="s">
        <v>204</v>
      </c>
      <c r="C757" s="37">
        <v>12</v>
      </c>
      <c r="D757" s="36">
        <f t="shared" si="30"/>
        <v>96.9</v>
      </c>
      <c r="E757" s="36">
        <f>93.2+3.7</f>
        <v>96.9</v>
      </c>
      <c r="F757" s="36">
        <v>73.3</v>
      </c>
      <c r="G757" s="36"/>
      <c r="H757" s="36"/>
      <c r="I757" s="36">
        <v>252.6</v>
      </c>
      <c r="J757" s="36"/>
      <c r="K757" s="36"/>
    </row>
    <row r="758" spans="1:11" ht="15.75" customHeight="1">
      <c r="A758" s="13">
        <f t="shared" si="28"/>
        <v>754</v>
      </c>
      <c r="B758" s="34" t="s">
        <v>204</v>
      </c>
      <c r="C758" s="37">
        <v>13</v>
      </c>
      <c r="D758" s="36">
        <f t="shared" si="30"/>
        <v>90.4</v>
      </c>
      <c r="E758" s="36">
        <v>90.4</v>
      </c>
      <c r="F758" s="36">
        <v>70.1</v>
      </c>
      <c r="G758" s="36"/>
      <c r="H758" s="36"/>
      <c r="I758" s="36"/>
      <c r="J758" s="36"/>
      <c r="K758" s="36"/>
    </row>
    <row r="759" spans="1:11" ht="15.75" customHeight="1">
      <c r="A759" s="13">
        <f t="shared" si="28"/>
        <v>755</v>
      </c>
      <c r="B759" s="34" t="s">
        <v>204</v>
      </c>
      <c r="C759" s="37">
        <v>14</v>
      </c>
      <c r="D759" s="36">
        <f t="shared" si="30"/>
        <v>90.39999999999999</v>
      </c>
      <c r="E759" s="36">
        <v>82.3</v>
      </c>
      <c r="F759" s="36">
        <v>60.4</v>
      </c>
      <c r="G759" s="36"/>
      <c r="H759" s="36">
        <v>8.1</v>
      </c>
      <c r="I759" s="36"/>
      <c r="J759" s="36"/>
      <c r="K759" s="36"/>
    </row>
    <row r="760" spans="1:11" ht="15.75" customHeight="1">
      <c r="A760" s="13">
        <f t="shared" si="28"/>
        <v>756</v>
      </c>
      <c r="B760" s="34" t="s">
        <v>204</v>
      </c>
      <c r="C760" s="37">
        <v>15</v>
      </c>
      <c r="D760" s="36">
        <f t="shared" si="30"/>
        <v>92.10000000000001</v>
      </c>
      <c r="E760" s="36">
        <f>84.2+7.9</f>
        <v>92.10000000000001</v>
      </c>
      <c r="F760" s="36">
        <v>67.4</v>
      </c>
      <c r="G760" s="36"/>
      <c r="H760" s="36"/>
      <c r="I760" s="36"/>
      <c r="J760" s="36"/>
      <c r="K760" s="36"/>
    </row>
    <row r="761" spans="1:11" ht="15.75" customHeight="1">
      <c r="A761" s="13">
        <f t="shared" si="28"/>
        <v>757</v>
      </c>
      <c r="B761" s="34" t="s">
        <v>204</v>
      </c>
      <c r="C761" s="37">
        <v>16</v>
      </c>
      <c r="D761" s="36">
        <f t="shared" si="30"/>
        <v>98</v>
      </c>
      <c r="E761" s="36">
        <v>98</v>
      </c>
      <c r="F761" s="36">
        <v>73</v>
      </c>
      <c r="G761" s="36"/>
      <c r="H761" s="36"/>
      <c r="I761" s="36"/>
      <c r="J761" s="36"/>
      <c r="K761" s="36"/>
    </row>
    <row r="762" spans="1:11" ht="15.75" customHeight="1">
      <c r="A762" s="13">
        <f t="shared" si="28"/>
        <v>758</v>
      </c>
      <c r="B762" s="34" t="s">
        <v>204</v>
      </c>
      <c r="C762" s="37">
        <v>17</v>
      </c>
      <c r="D762" s="36">
        <f t="shared" si="30"/>
        <v>103.6</v>
      </c>
      <c r="E762" s="36">
        <v>103.6</v>
      </c>
      <c r="F762" s="36">
        <v>75.5</v>
      </c>
      <c r="G762" s="36"/>
      <c r="H762" s="36"/>
      <c r="I762" s="36"/>
      <c r="J762" s="36"/>
      <c r="K762" s="36"/>
    </row>
    <row r="763" spans="1:11" ht="15.75" customHeight="1">
      <c r="A763" s="13">
        <f t="shared" si="28"/>
        <v>759</v>
      </c>
      <c r="B763" s="34" t="s">
        <v>204</v>
      </c>
      <c r="C763" s="37">
        <v>18</v>
      </c>
      <c r="D763" s="36">
        <f t="shared" si="30"/>
        <v>107.7</v>
      </c>
      <c r="E763" s="36">
        <v>107.7</v>
      </c>
      <c r="F763" s="36">
        <v>76.8</v>
      </c>
      <c r="G763" s="36"/>
      <c r="H763" s="36"/>
      <c r="I763" s="36"/>
      <c r="J763" s="36"/>
      <c r="K763" s="36"/>
    </row>
    <row r="764" spans="1:11" ht="15.75" customHeight="1">
      <c r="A764" s="13">
        <f t="shared" si="28"/>
        <v>760</v>
      </c>
      <c r="B764" s="34" t="s">
        <v>204</v>
      </c>
      <c r="C764" s="37">
        <v>19</v>
      </c>
      <c r="D764" s="36">
        <f t="shared" si="30"/>
        <v>82.30000000000001</v>
      </c>
      <c r="E764" s="36">
        <v>78.9</v>
      </c>
      <c r="F764" s="36">
        <v>57.5</v>
      </c>
      <c r="G764" s="36"/>
      <c r="H764" s="36">
        <v>3.4</v>
      </c>
      <c r="I764" s="36"/>
      <c r="J764" s="36"/>
      <c r="K764" s="36"/>
    </row>
    <row r="765" spans="1:11" ht="15.75" customHeight="1">
      <c r="A765" s="13">
        <f t="shared" si="28"/>
        <v>761</v>
      </c>
      <c r="B765" s="34" t="s">
        <v>204</v>
      </c>
      <c r="C765" s="37">
        <v>20</v>
      </c>
      <c r="D765" s="36">
        <f t="shared" si="30"/>
        <v>109.6</v>
      </c>
      <c r="E765" s="36">
        <v>109.6</v>
      </c>
      <c r="F765" s="36">
        <v>73.1</v>
      </c>
      <c r="G765" s="36"/>
      <c r="H765" s="36"/>
      <c r="I765" s="36"/>
      <c r="J765" s="36"/>
      <c r="K765" s="36"/>
    </row>
    <row r="766" spans="1:11" ht="15.75" customHeight="1">
      <c r="A766" s="13">
        <f t="shared" si="28"/>
        <v>762</v>
      </c>
      <c r="B766" s="34" t="s">
        <v>204</v>
      </c>
      <c r="C766" s="37">
        <v>21</v>
      </c>
      <c r="D766" s="36">
        <f t="shared" si="30"/>
        <v>96</v>
      </c>
      <c r="E766" s="36">
        <f>90.6+5.4</f>
        <v>96</v>
      </c>
      <c r="F766" s="36">
        <v>65.5</v>
      </c>
      <c r="G766" s="36"/>
      <c r="H766" s="36"/>
      <c r="I766" s="36"/>
      <c r="J766" s="36"/>
      <c r="K766" s="36"/>
    </row>
    <row r="767" spans="1:11" ht="15.75" customHeight="1">
      <c r="A767" s="13">
        <f t="shared" si="28"/>
        <v>763</v>
      </c>
      <c r="B767" s="34" t="s">
        <v>204</v>
      </c>
      <c r="C767" s="37">
        <v>22</v>
      </c>
      <c r="D767" s="36">
        <f t="shared" si="30"/>
        <v>107.5</v>
      </c>
      <c r="E767" s="36">
        <v>107.5</v>
      </c>
      <c r="F767" s="36">
        <v>76.3</v>
      </c>
      <c r="G767" s="36"/>
      <c r="H767" s="36"/>
      <c r="I767" s="36"/>
      <c r="J767" s="36"/>
      <c r="K767" s="36"/>
    </row>
    <row r="768" spans="1:11" ht="15.75" customHeight="1">
      <c r="A768" s="13">
        <f t="shared" si="28"/>
        <v>764</v>
      </c>
      <c r="B768" s="34" t="s">
        <v>204</v>
      </c>
      <c r="C768" s="37">
        <v>24</v>
      </c>
      <c r="D768" s="36">
        <f t="shared" si="30"/>
        <v>75.9</v>
      </c>
      <c r="E768" s="36">
        <f>68.4+7.5</f>
        <v>75.9</v>
      </c>
      <c r="F768" s="36">
        <v>50.9</v>
      </c>
      <c r="G768" s="36"/>
      <c r="H768" s="36"/>
      <c r="I768" s="36"/>
      <c r="J768" s="36"/>
      <c r="K768" s="36"/>
    </row>
    <row r="769" spans="1:11" ht="15.75" customHeight="1">
      <c r="A769" s="13">
        <f t="shared" si="28"/>
        <v>765</v>
      </c>
      <c r="B769" s="34" t="s">
        <v>204</v>
      </c>
      <c r="C769" s="37">
        <v>26</v>
      </c>
      <c r="D769" s="36">
        <f t="shared" si="30"/>
        <v>124.9</v>
      </c>
      <c r="E769" s="36">
        <v>124.9</v>
      </c>
      <c r="F769" s="36">
        <v>95.2</v>
      </c>
      <c r="G769" s="36"/>
      <c r="H769" s="36"/>
      <c r="I769" s="36"/>
      <c r="J769" s="36"/>
      <c r="K769" s="36"/>
    </row>
    <row r="770" spans="1:11" ht="15.75" customHeight="1">
      <c r="A770" s="13">
        <f t="shared" si="28"/>
        <v>766</v>
      </c>
      <c r="B770" s="34" t="s">
        <v>204</v>
      </c>
      <c r="C770" s="37">
        <v>27</v>
      </c>
      <c r="D770" s="36">
        <f t="shared" si="30"/>
        <v>96</v>
      </c>
      <c r="E770" s="36">
        <v>96</v>
      </c>
      <c r="F770" s="36">
        <v>68</v>
      </c>
      <c r="G770" s="36"/>
      <c r="H770" s="36"/>
      <c r="I770" s="36"/>
      <c r="J770" s="36"/>
      <c r="K770" s="36"/>
    </row>
    <row r="771" spans="1:11" ht="15.75" customHeight="1">
      <c r="A771" s="13">
        <f t="shared" si="28"/>
        <v>767</v>
      </c>
      <c r="B771" s="34" t="s">
        <v>204</v>
      </c>
      <c r="C771" s="37">
        <v>28</v>
      </c>
      <c r="D771" s="36">
        <f t="shared" si="30"/>
        <v>126.8</v>
      </c>
      <c r="E771" s="36">
        <v>126.8</v>
      </c>
      <c r="F771" s="36">
        <v>75</v>
      </c>
      <c r="G771" s="36"/>
      <c r="H771" s="36"/>
      <c r="I771" s="36"/>
      <c r="J771" s="36"/>
      <c r="K771" s="36"/>
    </row>
    <row r="772" spans="1:11" ht="15.75" customHeight="1">
      <c r="A772" s="13">
        <f t="shared" si="28"/>
        <v>768</v>
      </c>
      <c r="B772" s="34" t="s">
        <v>205</v>
      </c>
      <c r="C772" s="37">
        <v>4</v>
      </c>
      <c r="D772" s="36">
        <f t="shared" si="30"/>
        <v>23475.600000000002</v>
      </c>
      <c r="E772" s="36">
        <f>21999-31</f>
        <v>21968</v>
      </c>
      <c r="F772" s="36">
        <v>13504.5</v>
      </c>
      <c r="G772" s="36">
        <v>1181.2</v>
      </c>
      <c r="H772" s="36">
        <f>278.1+48.3</f>
        <v>326.40000000000003</v>
      </c>
      <c r="I772" s="36"/>
      <c r="J772" s="36"/>
      <c r="K772" s="36"/>
    </row>
    <row r="773" spans="1:11" ht="15.75" customHeight="1">
      <c r="A773" s="13">
        <f t="shared" si="28"/>
        <v>769</v>
      </c>
      <c r="B773" s="34" t="s">
        <v>205</v>
      </c>
      <c r="C773" s="37">
        <v>6</v>
      </c>
      <c r="D773" s="36">
        <f t="shared" si="30"/>
        <v>3280.1</v>
      </c>
      <c r="E773" s="36">
        <v>3196.4</v>
      </c>
      <c r="F773" s="36">
        <v>1878.1</v>
      </c>
      <c r="G773" s="36"/>
      <c r="H773" s="36">
        <v>83.7</v>
      </c>
      <c r="I773" s="36"/>
      <c r="J773" s="36"/>
      <c r="K773" s="36"/>
    </row>
    <row r="774" spans="1:11" ht="15.75" customHeight="1">
      <c r="A774" s="13">
        <f aca="true" t="shared" si="31" ref="A774:A837">A773+1</f>
        <v>770</v>
      </c>
      <c r="B774" s="34" t="s">
        <v>205</v>
      </c>
      <c r="C774" s="37">
        <v>8</v>
      </c>
      <c r="D774" s="36">
        <f t="shared" si="30"/>
        <v>3238.2</v>
      </c>
      <c r="E774" s="36">
        <v>3238.2</v>
      </c>
      <c r="F774" s="36">
        <v>1871</v>
      </c>
      <c r="G774" s="36"/>
      <c r="H774" s="36"/>
      <c r="I774" s="36"/>
      <c r="J774" s="36"/>
      <c r="K774" s="36"/>
    </row>
    <row r="775" spans="1:11" ht="15.75" customHeight="1">
      <c r="A775" s="13">
        <f t="shared" si="31"/>
        <v>771</v>
      </c>
      <c r="B775" s="34" t="s">
        <v>205</v>
      </c>
      <c r="C775" s="37" t="s">
        <v>123</v>
      </c>
      <c r="D775" s="36">
        <f t="shared" si="30"/>
        <v>3231</v>
      </c>
      <c r="E775" s="36">
        <v>3231</v>
      </c>
      <c r="F775" s="36">
        <v>1882</v>
      </c>
      <c r="G775" s="36"/>
      <c r="H775" s="36"/>
      <c r="I775" s="36"/>
      <c r="J775" s="36"/>
      <c r="K775" s="36"/>
    </row>
    <row r="776" spans="1:11" ht="15.75" customHeight="1">
      <c r="A776" s="13">
        <f t="shared" si="31"/>
        <v>772</v>
      </c>
      <c r="B776" s="34" t="s">
        <v>205</v>
      </c>
      <c r="C776" s="37" t="s">
        <v>124</v>
      </c>
      <c r="D776" s="36">
        <f t="shared" si="30"/>
        <v>3285.7</v>
      </c>
      <c r="E776" s="36">
        <v>3285.7</v>
      </c>
      <c r="F776" s="36">
        <v>1874.5</v>
      </c>
      <c r="G776" s="36"/>
      <c r="H776" s="36"/>
      <c r="I776" s="36"/>
      <c r="J776" s="36"/>
      <c r="K776" s="36"/>
    </row>
    <row r="777" spans="1:11" ht="15.75" customHeight="1">
      <c r="A777" s="13">
        <f t="shared" si="31"/>
        <v>773</v>
      </c>
      <c r="B777" s="34" t="s">
        <v>206</v>
      </c>
      <c r="C777" s="37">
        <v>4</v>
      </c>
      <c r="D777" s="36">
        <f t="shared" si="30"/>
        <v>367.59999999999997</v>
      </c>
      <c r="E777" s="36">
        <v>345.7</v>
      </c>
      <c r="F777" s="36">
        <v>230.7</v>
      </c>
      <c r="G777" s="36">
        <v>21.9</v>
      </c>
      <c r="H777" s="36"/>
      <c r="I777" s="36"/>
      <c r="J777" s="36"/>
      <c r="K777" s="36"/>
    </row>
    <row r="778" spans="1:11" ht="15.75" customHeight="1">
      <c r="A778" s="13">
        <f t="shared" si="31"/>
        <v>774</v>
      </c>
      <c r="B778" s="34" t="s">
        <v>206</v>
      </c>
      <c r="C778" s="37" t="s">
        <v>148</v>
      </c>
      <c r="D778" s="36">
        <f t="shared" si="30"/>
        <v>2963.7</v>
      </c>
      <c r="E778" s="36">
        <f>2917.4-24.8</f>
        <v>2892.6</v>
      </c>
      <c r="F778" s="36">
        <v>1604.4</v>
      </c>
      <c r="G778" s="36"/>
      <c r="H778" s="36">
        <f>46.3+24.8</f>
        <v>71.1</v>
      </c>
      <c r="I778" s="36"/>
      <c r="J778" s="36"/>
      <c r="K778" s="36"/>
    </row>
    <row r="779" spans="1:11" ht="15.75" customHeight="1">
      <c r="A779" s="13">
        <f t="shared" si="31"/>
        <v>775</v>
      </c>
      <c r="B779" s="34" t="s">
        <v>207</v>
      </c>
      <c r="C779" s="37">
        <v>2</v>
      </c>
      <c r="D779" s="36">
        <f t="shared" si="30"/>
        <v>26983.8</v>
      </c>
      <c r="E779" s="36">
        <f>26535.5+1+32.4+2.6-2</f>
        <v>26569.5</v>
      </c>
      <c r="F779" s="36">
        <v>14514.2</v>
      </c>
      <c r="G779" s="36">
        <f>150.8-106.5</f>
        <v>44.30000000000001</v>
      </c>
      <c r="H779" s="36">
        <f>295.4+118.2-11.2-32.4</f>
        <v>370</v>
      </c>
      <c r="I779" s="36"/>
      <c r="J779" s="36"/>
      <c r="K779" s="36"/>
    </row>
    <row r="780" spans="1:11" ht="15.75" customHeight="1">
      <c r="A780" s="13">
        <f t="shared" si="31"/>
        <v>776</v>
      </c>
      <c r="B780" s="34" t="s">
        <v>207</v>
      </c>
      <c r="C780" s="37">
        <v>7</v>
      </c>
      <c r="D780" s="36">
        <f t="shared" si="30"/>
        <v>106.2</v>
      </c>
      <c r="E780" s="36">
        <v>106.2</v>
      </c>
      <c r="F780" s="36">
        <v>79.8</v>
      </c>
      <c r="G780" s="36"/>
      <c r="H780" s="36"/>
      <c r="I780" s="36"/>
      <c r="J780" s="36"/>
      <c r="K780" s="36"/>
    </row>
    <row r="781" spans="1:11" ht="15.75" customHeight="1">
      <c r="A781" s="13">
        <f t="shared" si="31"/>
        <v>777</v>
      </c>
      <c r="B781" s="34" t="s">
        <v>207</v>
      </c>
      <c r="C781" s="37">
        <v>9</v>
      </c>
      <c r="D781" s="36">
        <f t="shared" si="30"/>
        <v>110.80000000000001</v>
      </c>
      <c r="E781" s="36">
        <f>103.4+7.4</f>
        <v>110.80000000000001</v>
      </c>
      <c r="F781" s="36">
        <v>79.5</v>
      </c>
      <c r="G781" s="36"/>
      <c r="H781" s="36"/>
      <c r="I781" s="36"/>
      <c r="J781" s="36"/>
      <c r="K781" s="36"/>
    </row>
    <row r="782" spans="1:11" ht="15.75" customHeight="1">
      <c r="A782" s="13">
        <f t="shared" si="31"/>
        <v>778</v>
      </c>
      <c r="B782" s="34" t="s">
        <v>207</v>
      </c>
      <c r="C782" s="37">
        <v>13</v>
      </c>
      <c r="D782" s="36">
        <f t="shared" si="30"/>
        <v>122.60000000000001</v>
      </c>
      <c r="E782" s="36">
        <f>107.4+8.8+6.4</f>
        <v>122.60000000000001</v>
      </c>
      <c r="F782" s="36">
        <f>79.3+8.8</f>
        <v>88.1</v>
      </c>
      <c r="G782" s="36"/>
      <c r="H782" s="36"/>
      <c r="I782" s="36"/>
      <c r="J782" s="36"/>
      <c r="K782" s="36"/>
    </row>
    <row r="783" spans="1:11" ht="15.75" customHeight="1">
      <c r="A783" s="13">
        <f t="shared" si="31"/>
        <v>779</v>
      </c>
      <c r="B783" s="34" t="s">
        <v>207</v>
      </c>
      <c r="C783" s="37">
        <v>15</v>
      </c>
      <c r="D783" s="36">
        <f t="shared" si="30"/>
        <v>121.80000000000001</v>
      </c>
      <c r="E783" s="36">
        <f>106.4+15.4</f>
        <v>121.80000000000001</v>
      </c>
      <c r="F783" s="36">
        <v>86</v>
      </c>
      <c r="G783" s="36"/>
      <c r="H783" s="36"/>
      <c r="I783" s="36"/>
      <c r="J783" s="36"/>
      <c r="K783" s="36"/>
    </row>
    <row r="784" spans="1:11" ht="15.75" customHeight="1">
      <c r="A784" s="13">
        <f t="shared" si="31"/>
        <v>780</v>
      </c>
      <c r="B784" s="34" t="s">
        <v>207</v>
      </c>
      <c r="C784" s="37">
        <v>17</v>
      </c>
      <c r="D784" s="36">
        <f t="shared" si="30"/>
        <v>104.1</v>
      </c>
      <c r="E784" s="36">
        <v>104.1</v>
      </c>
      <c r="F784" s="36">
        <v>80.2</v>
      </c>
      <c r="G784" s="36"/>
      <c r="H784" s="36"/>
      <c r="I784" s="36"/>
      <c r="J784" s="36"/>
      <c r="K784" s="36"/>
    </row>
    <row r="785" spans="1:11" ht="15.75" customHeight="1">
      <c r="A785" s="13">
        <f t="shared" si="31"/>
        <v>781</v>
      </c>
      <c r="B785" s="34" t="s">
        <v>207</v>
      </c>
      <c r="C785" s="37">
        <v>19</v>
      </c>
      <c r="D785" s="36">
        <f t="shared" si="30"/>
        <v>111.3</v>
      </c>
      <c r="E785" s="36">
        <f>105.7+5.6</f>
        <v>111.3</v>
      </c>
      <c r="F785" s="36">
        <v>78.7</v>
      </c>
      <c r="G785" s="36"/>
      <c r="H785" s="36"/>
      <c r="I785" s="36"/>
      <c r="J785" s="36"/>
      <c r="K785" s="36"/>
    </row>
    <row r="786" spans="1:11" ht="15.75" customHeight="1">
      <c r="A786" s="13">
        <f t="shared" si="31"/>
        <v>782</v>
      </c>
      <c r="B786" s="34" t="s">
        <v>208</v>
      </c>
      <c r="C786" s="37">
        <v>1</v>
      </c>
      <c r="D786" s="36">
        <f t="shared" si="30"/>
        <v>116</v>
      </c>
      <c r="E786" s="36">
        <f>104.4+11.6</f>
        <v>116</v>
      </c>
      <c r="F786" s="36">
        <v>79.6</v>
      </c>
      <c r="G786" s="36"/>
      <c r="H786" s="36"/>
      <c r="I786" s="36"/>
      <c r="J786" s="36"/>
      <c r="K786" s="36"/>
    </row>
    <row r="787" spans="1:11" ht="15.75" customHeight="1">
      <c r="A787" s="13">
        <f t="shared" si="31"/>
        <v>783</v>
      </c>
      <c r="B787" s="34" t="s">
        <v>208</v>
      </c>
      <c r="C787" s="37">
        <v>2</v>
      </c>
      <c r="D787" s="36">
        <f t="shared" si="30"/>
        <v>104.3</v>
      </c>
      <c r="E787" s="36">
        <v>104.3</v>
      </c>
      <c r="F787" s="36">
        <v>70.3</v>
      </c>
      <c r="G787" s="36"/>
      <c r="H787" s="36"/>
      <c r="I787" s="36"/>
      <c r="J787" s="36"/>
      <c r="K787" s="36"/>
    </row>
    <row r="788" spans="1:11" ht="15.75" customHeight="1">
      <c r="A788" s="13">
        <f t="shared" si="31"/>
        <v>784</v>
      </c>
      <c r="B788" s="34" t="s">
        <v>208</v>
      </c>
      <c r="C788" s="37">
        <v>4</v>
      </c>
      <c r="D788" s="36">
        <f t="shared" si="30"/>
        <v>100.8</v>
      </c>
      <c r="E788" s="36">
        <v>100.8</v>
      </c>
      <c r="F788" s="36">
        <v>68.7</v>
      </c>
      <c r="G788" s="36"/>
      <c r="H788" s="36"/>
      <c r="I788" s="36"/>
      <c r="J788" s="36"/>
      <c r="K788" s="36"/>
    </row>
    <row r="789" spans="1:11" ht="15.75" customHeight="1">
      <c r="A789" s="13">
        <f t="shared" si="31"/>
        <v>785</v>
      </c>
      <c r="B789" s="34" t="s">
        <v>208</v>
      </c>
      <c r="C789" s="37">
        <v>5</v>
      </c>
      <c r="D789" s="36">
        <f t="shared" si="30"/>
        <v>108.6</v>
      </c>
      <c r="E789" s="36">
        <v>108.6</v>
      </c>
      <c r="F789" s="36">
        <v>74.5</v>
      </c>
      <c r="G789" s="36"/>
      <c r="H789" s="36"/>
      <c r="I789" s="36"/>
      <c r="J789" s="36"/>
      <c r="K789" s="36"/>
    </row>
    <row r="790" spans="1:11" ht="15.75" customHeight="1">
      <c r="A790" s="13">
        <f t="shared" si="31"/>
        <v>786</v>
      </c>
      <c r="B790" s="34" t="s">
        <v>208</v>
      </c>
      <c r="C790" s="37">
        <v>6</v>
      </c>
      <c r="D790" s="36">
        <f t="shared" si="30"/>
        <v>118.9</v>
      </c>
      <c r="E790" s="36">
        <v>118.9</v>
      </c>
      <c r="F790" s="36">
        <v>86.5</v>
      </c>
      <c r="G790" s="36"/>
      <c r="H790" s="36"/>
      <c r="I790" s="36"/>
      <c r="J790" s="36"/>
      <c r="K790" s="36"/>
    </row>
    <row r="791" spans="1:11" ht="15.75" customHeight="1">
      <c r="A791" s="13">
        <f t="shared" si="31"/>
        <v>787</v>
      </c>
      <c r="B791" s="34" t="s">
        <v>208</v>
      </c>
      <c r="C791" s="37">
        <v>7</v>
      </c>
      <c r="D791" s="36">
        <f t="shared" si="30"/>
        <v>112.9</v>
      </c>
      <c r="E791" s="36">
        <v>112.9</v>
      </c>
      <c r="F791" s="36">
        <v>81</v>
      </c>
      <c r="G791" s="36"/>
      <c r="H791" s="36"/>
      <c r="I791" s="36"/>
      <c r="J791" s="36"/>
      <c r="K791" s="36"/>
    </row>
    <row r="792" spans="1:11" ht="15.75" customHeight="1">
      <c r="A792" s="13">
        <f t="shared" si="31"/>
        <v>788</v>
      </c>
      <c r="B792" s="34" t="s">
        <v>208</v>
      </c>
      <c r="C792" s="37">
        <v>8</v>
      </c>
      <c r="D792" s="36">
        <f t="shared" si="30"/>
        <v>106.1</v>
      </c>
      <c r="E792" s="36">
        <v>106.1</v>
      </c>
      <c r="F792" s="36">
        <v>78.7</v>
      </c>
      <c r="G792" s="36"/>
      <c r="H792" s="36"/>
      <c r="I792" s="36"/>
      <c r="J792" s="36"/>
      <c r="K792" s="36"/>
    </row>
    <row r="793" spans="1:11" ht="15.75" customHeight="1">
      <c r="A793" s="13">
        <f t="shared" si="31"/>
        <v>789</v>
      </c>
      <c r="B793" s="34" t="s">
        <v>208</v>
      </c>
      <c r="C793" s="37">
        <v>9</v>
      </c>
      <c r="D793" s="36">
        <f t="shared" si="30"/>
        <v>106.5</v>
      </c>
      <c r="E793" s="36">
        <v>106.5</v>
      </c>
      <c r="F793" s="36">
        <v>77.7</v>
      </c>
      <c r="G793" s="36"/>
      <c r="H793" s="36"/>
      <c r="I793" s="36"/>
      <c r="J793" s="36"/>
      <c r="K793" s="36"/>
    </row>
    <row r="794" spans="1:11" ht="15.75" customHeight="1">
      <c r="A794" s="13">
        <f t="shared" si="31"/>
        <v>790</v>
      </c>
      <c r="B794" s="34" t="s">
        <v>208</v>
      </c>
      <c r="C794" s="37">
        <v>10</v>
      </c>
      <c r="D794" s="36">
        <f t="shared" si="30"/>
        <v>110.3</v>
      </c>
      <c r="E794" s="36">
        <v>110.3</v>
      </c>
      <c r="F794" s="36">
        <v>79.9</v>
      </c>
      <c r="G794" s="36"/>
      <c r="H794" s="36"/>
      <c r="I794" s="36"/>
      <c r="J794" s="36"/>
      <c r="K794" s="36"/>
    </row>
    <row r="795" spans="1:11" ht="15.75" customHeight="1">
      <c r="A795" s="13">
        <f t="shared" si="31"/>
        <v>791</v>
      </c>
      <c r="B795" s="34" t="s">
        <v>208</v>
      </c>
      <c r="C795" s="37">
        <v>12</v>
      </c>
      <c r="D795" s="36">
        <f t="shared" si="30"/>
        <v>103.7</v>
      </c>
      <c r="E795" s="36">
        <v>103.7</v>
      </c>
      <c r="F795" s="36">
        <v>79.9</v>
      </c>
      <c r="G795" s="36"/>
      <c r="H795" s="36"/>
      <c r="I795" s="36"/>
      <c r="J795" s="36"/>
      <c r="K795" s="36"/>
    </row>
    <row r="796" spans="1:11" ht="15.75" customHeight="1">
      <c r="A796" s="13">
        <f t="shared" si="31"/>
        <v>792</v>
      </c>
      <c r="B796" s="34" t="s">
        <v>208</v>
      </c>
      <c r="C796" s="37">
        <v>14</v>
      </c>
      <c r="D796" s="36">
        <f t="shared" si="30"/>
        <v>120.1</v>
      </c>
      <c r="E796" s="36">
        <v>120.1</v>
      </c>
      <c r="F796" s="36">
        <v>82.7</v>
      </c>
      <c r="G796" s="36"/>
      <c r="H796" s="36"/>
      <c r="I796" s="36">
        <f>32.1+12.2</f>
        <v>44.3</v>
      </c>
      <c r="J796" s="36"/>
      <c r="K796" s="37"/>
    </row>
    <row r="797" spans="1:11" ht="15.75" customHeight="1">
      <c r="A797" s="13">
        <f t="shared" si="31"/>
        <v>793</v>
      </c>
      <c r="B797" s="34" t="s">
        <v>209</v>
      </c>
      <c r="C797" s="37">
        <v>1</v>
      </c>
      <c r="D797" s="36">
        <f t="shared" si="30"/>
        <v>119.9</v>
      </c>
      <c r="E797" s="36">
        <v>119.9</v>
      </c>
      <c r="F797" s="36">
        <v>89.2</v>
      </c>
      <c r="G797" s="36"/>
      <c r="H797" s="36"/>
      <c r="I797" s="36"/>
      <c r="J797" s="36"/>
      <c r="K797" s="36"/>
    </row>
    <row r="798" spans="1:11" ht="15.75" customHeight="1">
      <c r="A798" s="13">
        <f t="shared" si="31"/>
        <v>794</v>
      </c>
      <c r="B798" s="34" t="s">
        <v>209</v>
      </c>
      <c r="C798" s="37">
        <v>2</v>
      </c>
      <c r="D798" s="36">
        <f t="shared" si="30"/>
        <v>110.6</v>
      </c>
      <c r="E798" s="36">
        <v>110.6</v>
      </c>
      <c r="F798" s="36">
        <v>80.5</v>
      </c>
      <c r="G798" s="36"/>
      <c r="H798" s="36"/>
      <c r="I798" s="36"/>
      <c r="J798" s="36"/>
      <c r="K798" s="36"/>
    </row>
    <row r="799" spans="1:11" ht="15.75" customHeight="1">
      <c r="A799" s="13">
        <f t="shared" si="31"/>
        <v>795</v>
      </c>
      <c r="B799" s="34" t="s">
        <v>209</v>
      </c>
      <c r="C799" s="37">
        <v>3</v>
      </c>
      <c r="D799" s="36">
        <f t="shared" si="30"/>
        <v>118.8</v>
      </c>
      <c r="E799" s="36">
        <f>115+3.8</f>
        <v>118.8</v>
      </c>
      <c r="F799" s="36">
        <v>84.1</v>
      </c>
      <c r="G799" s="36"/>
      <c r="H799" s="36"/>
      <c r="I799" s="36"/>
      <c r="J799" s="36"/>
      <c r="K799" s="36"/>
    </row>
    <row r="800" spans="1:11" ht="15.75" customHeight="1">
      <c r="A800" s="13">
        <f t="shared" si="31"/>
        <v>796</v>
      </c>
      <c r="B800" s="34" t="s">
        <v>209</v>
      </c>
      <c r="C800" s="37">
        <v>4</v>
      </c>
      <c r="D800" s="36">
        <f t="shared" si="30"/>
        <v>106.7</v>
      </c>
      <c r="E800" s="36">
        <v>106.7</v>
      </c>
      <c r="F800" s="36">
        <v>79.3</v>
      </c>
      <c r="G800" s="36"/>
      <c r="H800" s="36"/>
      <c r="I800" s="36"/>
      <c r="J800" s="36"/>
      <c r="K800" s="36"/>
    </row>
    <row r="801" spans="1:11" ht="15.75" customHeight="1">
      <c r="A801" s="13">
        <f t="shared" si="31"/>
        <v>797</v>
      </c>
      <c r="B801" s="34" t="s">
        <v>209</v>
      </c>
      <c r="C801" s="37">
        <v>6</v>
      </c>
      <c r="D801" s="36">
        <f t="shared" si="30"/>
        <v>92.1</v>
      </c>
      <c r="E801" s="36">
        <v>92.1</v>
      </c>
      <c r="F801" s="36">
        <v>72.5</v>
      </c>
      <c r="G801" s="36"/>
      <c r="H801" s="36"/>
      <c r="I801" s="36"/>
      <c r="J801" s="36"/>
      <c r="K801" s="36"/>
    </row>
    <row r="802" spans="1:11" ht="15.75" customHeight="1">
      <c r="A802" s="13">
        <f t="shared" si="31"/>
        <v>798</v>
      </c>
      <c r="B802" s="34" t="s">
        <v>209</v>
      </c>
      <c r="C802" s="37">
        <v>7</v>
      </c>
      <c r="D802" s="36">
        <f t="shared" si="30"/>
        <v>90.3</v>
      </c>
      <c r="E802" s="36">
        <v>90.3</v>
      </c>
      <c r="F802" s="36">
        <v>69.6</v>
      </c>
      <c r="G802" s="36"/>
      <c r="H802" s="36"/>
      <c r="I802" s="36"/>
      <c r="J802" s="36"/>
      <c r="K802" s="36"/>
    </row>
    <row r="803" spans="1:11" ht="15.75" customHeight="1">
      <c r="A803" s="13">
        <f t="shared" si="31"/>
        <v>799</v>
      </c>
      <c r="B803" s="34" t="s">
        <v>209</v>
      </c>
      <c r="C803" s="37">
        <v>8</v>
      </c>
      <c r="D803" s="36">
        <f t="shared" si="30"/>
        <v>119.2</v>
      </c>
      <c r="E803" s="36">
        <v>119.2</v>
      </c>
      <c r="F803" s="36">
        <v>91</v>
      </c>
      <c r="G803" s="36"/>
      <c r="H803" s="36"/>
      <c r="I803" s="36"/>
      <c r="J803" s="36"/>
      <c r="K803" s="36"/>
    </row>
    <row r="804" spans="1:11" ht="15.75" customHeight="1">
      <c r="A804" s="13">
        <f t="shared" si="31"/>
        <v>800</v>
      </c>
      <c r="B804" s="34" t="s">
        <v>209</v>
      </c>
      <c r="C804" s="37">
        <v>9</v>
      </c>
      <c r="D804" s="36">
        <f t="shared" si="30"/>
        <v>117.5</v>
      </c>
      <c r="E804" s="36">
        <v>117.5</v>
      </c>
      <c r="F804" s="36">
        <v>69.6</v>
      </c>
      <c r="G804" s="36"/>
      <c r="H804" s="36"/>
      <c r="I804" s="36"/>
      <c r="J804" s="36"/>
      <c r="K804" s="36"/>
    </row>
    <row r="805" spans="1:11" ht="15.75" customHeight="1">
      <c r="A805" s="13">
        <f t="shared" si="31"/>
        <v>801</v>
      </c>
      <c r="B805" s="34" t="s">
        <v>209</v>
      </c>
      <c r="C805" s="37">
        <v>10</v>
      </c>
      <c r="D805" s="36">
        <f t="shared" si="30"/>
        <v>117.5</v>
      </c>
      <c r="E805" s="36">
        <v>117.5</v>
      </c>
      <c r="F805" s="36">
        <v>79.3</v>
      </c>
      <c r="G805" s="36"/>
      <c r="H805" s="36"/>
      <c r="I805" s="36"/>
      <c r="J805" s="36"/>
      <c r="K805" s="36"/>
    </row>
    <row r="806" spans="1:11" ht="15.75" customHeight="1">
      <c r="A806" s="13">
        <f t="shared" si="31"/>
        <v>802</v>
      </c>
      <c r="B806" s="34" t="s">
        <v>209</v>
      </c>
      <c r="C806" s="37">
        <v>11</v>
      </c>
      <c r="D806" s="36">
        <f t="shared" si="30"/>
        <v>111.8</v>
      </c>
      <c r="E806" s="36">
        <f>103.3+8.5</f>
        <v>111.8</v>
      </c>
      <c r="F806" s="36">
        <v>75.9</v>
      </c>
      <c r="G806" s="36"/>
      <c r="H806" s="36"/>
      <c r="I806" s="36"/>
      <c r="J806" s="36"/>
      <c r="K806" s="36"/>
    </row>
    <row r="807" spans="1:11" ht="15.75" customHeight="1">
      <c r="A807" s="13">
        <f t="shared" si="31"/>
        <v>803</v>
      </c>
      <c r="B807" s="34" t="s">
        <v>209</v>
      </c>
      <c r="C807" s="37">
        <v>12</v>
      </c>
      <c r="D807" s="36">
        <f t="shared" si="30"/>
        <v>109</v>
      </c>
      <c r="E807" s="36">
        <v>109</v>
      </c>
      <c r="F807" s="36">
        <v>82.2</v>
      </c>
      <c r="G807" s="36"/>
      <c r="H807" s="36"/>
      <c r="I807" s="36"/>
      <c r="J807" s="36"/>
      <c r="K807" s="36"/>
    </row>
    <row r="808" spans="1:11" ht="15.75" customHeight="1">
      <c r="A808" s="13">
        <f t="shared" si="31"/>
        <v>804</v>
      </c>
      <c r="B808" s="34" t="s">
        <v>210</v>
      </c>
      <c r="C808" s="37">
        <v>1</v>
      </c>
      <c r="D808" s="36">
        <f t="shared" si="30"/>
        <v>109.9</v>
      </c>
      <c r="E808" s="36">
        <v>109.9</v>
      </c>
      <c r="F808" s="36">
        <v>74.7</v>
      </c>
      <c r="G808" s="36"/>
      <c r="H808" s="36"/>
      <c r="I808" s="36"/>
      <c r="J808" s="36"/>
      <c r="K808" s="36"/>
    </row>
    <row r="809" spans="1:11" ht="15.75" customHeight="1">
      <c r="A809" s="13">
        <f t="shared" si="31"/>
        <v>805</v>
      </c>
      <c r="B809" s="34" t="s">
        <v>210</v>
      </c>
      <c r="C809" s="37">
        <v>3</v>
      </c>
      <c r="D809" s="36">
        <f t="shared" si="30"/>
        <v>114.1</v>
      </c>
      <c r="E809" s="36">
        <v>114.1</v>
      </c>
      <c r="F809" s="36">
        <v>81.5</v>
      </c>
      <c r="G809" s="36"/>
      <c r="H809" s="36"/>
      <c r="I809" s="36"/>
      <c r="J809" s="36"/>
      <c r="K809" s="36"/>
    </row>
    <row r="810" spans="1:11" ht="15.75" customHeight="1">
      <c r="A810" s="13">
        <f t="shared" si="31"/>
        <v>806</v>
      </c>
      <c r="B810" s="34" t="s">
        <v>210</v>
      </c>
      <c r="C810" s="37">
        <v>5</v>
      </c>
      <c r="D810" s="36">
        <f aca="true" t="shared" si="32" ref="D810:D873">E810+G810+H810</f>
        <v>112.3</v>
      </c>
      <c r="E810" s="36">
        <v>112.3</v>
      </c>
      <c r="F810" s="36">
        <v>79.6</v>
      </c>
      <c r="G810" s="36"/>
      <c r="H810" s="36"/>
      <c r="I810" s="36"/>
      <c r="J810" s="36"/>
      <c r="K810" s="36"/>
    </row>
    <row r="811" spans="1:11" ht="15.75" customHeight="1">
      <c r="A811" s="13">
        <f t="shared" si="31"/>
        <v>807</v>
      </c>
      <c r="B811" s="34" t="s">
        <v>210</v>
      </c>
      <c r="C811" s="37">
        <v>6</v>
      </c>
      <c r="D811" s="36">
        <f t="shared" si="32"/>
        <v>117.3</v>
      </c>
      <c r="E811" s="36">
        <f>105.1+12.2</f>
        <v>117.3</v>
      </c>
      <c r="F811" s="36">
        <v>79.9</v>
      </c>
      <c r="G811" s="36"/>
      <c r="H811" s="36"/>
      <c r="I811" s="36"/>
      <c r="J811" s="36"/>
      <c r="K811" s="36"/>
    </row>
    <row r="812" spans="1:11" ht="15.75" customHeight="1">
      <c r="A812" s="13">
        <f t="shared" si="31"/>
        <v>808</v>
      </c>
      <c r="B812" s="34" t="s">
        <v>210</v>
      </c>
      <c r="C812" s="37">
        <v>7</v>
      </c>
      <c r="D812" s="36">
        <f t="shared" si="32"/>
        <v>102.6</v>
      </c>
      <c r="E812" s="36">
        <v>102.6</v>
      </c>
      <c r="F812" s="36">
        <v>78.5</v>
      </c>
      <c r="G812" s="36"/>
      <c r="H812" s="36"/>
      <c r="I812" s="36"/>
      <c r="J812" s="36"/>
      <c r="K812" s="36"/>
    </row>
    <row r="813" spans="1:11" ht="15.75" customHeight="1">
      <c r="A813" s="13">
        <f t="shared" si="31"/>
        <v>809</v>
      </c>
      <c r="B813" s="34" t="s">
        <v>210</v>
      </c>
      <c r="C813" s="37">
        <v>8</v>
      </c>
      <c r="D813" s="36">
        <f t="shared" si="32"/>
        <v>104</v>
      </c>
      <c r="E813" s="36">
        <v>104</v>
      </c>
      <c r="F813" s="36">
        <v>79</v>
      </c>
      <c r="G813" s="36"/>
      <c r="H813" s="36"/>
      <c r="I813" s="36"/>
      <c r="J813" s="36"/>
      <c r="K813" s="36"/>
    </row>
    <row r="814" spans="1:11" ht="15.75" customHeight="1">
      <c r="A814" s="13">
        <f t="shared" si="31"/>
        <v>810</v>
      </c>
      <c r="B814" s="34" t="s">
        <v>210</v>
      </c>
      <c r="C814" s="37">
        <v>9</v>
      </c>
      <c r="D814" s="36">
        <f t="shared" si="32"/>
        <v>114.1</v>
      </c>
      <c r="E814" s="36">
        <v>114.1</v>
      </c>
      <c r="F814" s="36">
        <v>64</v>
      </c>
      <c r="G814" s="36"/>
      <c r="H814" s="36"/>
      <c r="I814" s="36"/>
      <c r="J814" s="36"/>
      <c r="K814" s="36"/>
    </row>
    <row r="815" spans="1:11" ht="15.75" customHeight="1">
      <c r="A815" s="13">
        <f t="shared" si="31"/>
        <v>811</v>
      </c>
      <c r="B815" s="34" t="s">
        <v>210</v>
      </c>
      <c r="C815" s="37">
        <v>10</v>
      </c>
      <c r="D815" s="36">
        <f t="shared" si="32"/>
        <v>117.4</v>
      </c>
      <c r="E815" s="36">
        <v>117.4</v>
      </c>
      <c r="F815" s="36">
        <v>91.5</v>
      </c>
      <c r="G815" s="36"/>
      <c r="H815" s="36"/>
      <c r="I815" s="36"/>
      <c r="J815" s="36"/>
      <c r="K815" s="36"/>
    </row>
    <row r="816" spans="1:11" ht="15.75" customHeight="1">
      <c r="A816" s="13">
        <f t="shared" si="31"/>
        <v>812</v>
      </c>
      <c r="B816" s="34" t="s">
        <v>210</v>
      </c>
      <c r="C816" s="37">
        <v>11</v>
      </c>
      <c r="D816" s="36">
        <f t="shared" si="32"/>
        <v>115.9</v>
      </c>
      <c r="E816" s="36">
        <f>103.5+12.4</f>
        <v>115.9</v>
      </c>
      <c r="F816" s="36">
        <v>78</v>
      </c>
      <c r="G816" s="36"/>
      <c r="H816" s="36"/>
      <c r="I816" s="36"/>
      <c r="J816" s="36"/>
      <c r="K816" s="36"/>
    </row>
    <row r="817" spans="1:11" ht="15.75" customHeight="1">
      <c r="A817" s="13">
        <f t="shared" si="31"/>
        <v>813</v>
      </c>
      <c r="B817" s="34" t="s">
        <v>210</v>
      </c>
      <c r="C817" s="37">
        <v>12</v>
      </c>
      <c r="D817" s="36">
        <f t="shared" si="32"/>
        <v>105.9</v>
      </c>
      <c r="E817" s="36">
        <v>105.9</v>
      </c>
      <c r="F817" s="36">
        <v>80.4</v>
      </c>
      <c r="G817" s="36"/>
      <c r="H817" s="36"/>
      <c r="I817" s="36"/>
      <c r="J817" s="36"/>
      <c r="K817" s="36"/>
    </row>
    <row r="818" spans="1:11" ht="15.75" customHeight="1">
      <c r="A818" s="13">
        <f t="shared" si="31"/>
        <v>814</v>
      </c>
      <c r="B818" s="34" t="s">
        <v>210</v>
      </c>
      <c r="C818" s="37">
        <v>13</v>
      </c>
      <c r="D818" s="36">
        <f t="shared" si="32"/>
        <v>111.19999999999999</v>
      </c>
      <c r="E818" s="36">
        <f>105.1+6.1</f>
        <v>111.19999999999999</v>
      </c>
      <c r="F818" s="36">
        <v>78.9</v>
      </c>
      <c r="G818" s="36"/>
      <c r="H818" s="36"/>
      <c r="I818" s="36"/>
      <c r="J818" s="36"/>
      <c r="K818" s="36"/>
    </row>
    <row r="819" spans="1:11" ht="15.75" customHeight="1">
      <c r="A819" s="13">
        <f t="shared" si="31"/>
        <v>815</v>
      </c>
      <c r="B819" s="34" t="s">
        <v>210</v>
      </c>
      <c r="C819" s="37">
        <v>14</v>
      </c>
      <c r="D819" s="36">
        <f t="shared" si="32"/>
        <v>107.4</v>
      </c>
      <c r="E819" s="36">
        <v>107.4</v>
      </c>
      <c r="F819" s="36">
        <v>80.1</v>
      </c>
      <c r="G819" s="36"/>
      <c r="H819" s="36"/>
      <c r="I819" s="36"/>
      <c r="J819" s="36"/>
      <c r="K819" s="36"/>
    </row>
    <row r="820" spans="1:11" ht="15.75" customHeight="1">
      <c r="A820" s="13">
        <f t="shared" si="31"/>
        <v>816</v>
      </c>
      <c r="B820" s="34" t="s">
        <v>210</v>
      </c>
      <c r="C820" s="37">
        <v>15</v>
      </c>
      <c r="D820" s="36">
        <f t="shared" si="32"/>
        <v>130.6</v>
      </c>
      <c r="E820" s="36">
        <f>113.4+17.2</f>
        <v>130.6</v>
      </c>
      <c r="F820" s="36">
        <v>90</v>
      </c>
      <c r="G820" s="36"/>
      <c r="H820" s="36"/>
      <c r="I820" s="36"/>
      <c r="J820" s="36"/>
      <c r="K820" s="36"/>
    </row>
    <row r="821" spans="1:11" ht="15.75" customHeight="1">
      <c r="A821" s="13">
        <f t="shared" si="31"/>
        <v>817</v>
      </c>
      <c r="B821" s="34" t="s">
        <v>210</v>
      </c>
      <c r="C821" s="37">
        <v>16</v>
      </c>
      <c r="D821" s="36">
        <f t="shared" si="32"/>
        <v>113.2</v>
      </c>
      <c r="E821" s="36">
        <f>107+6.2</f>
        <v>113.2</v>
      </c>
      <c r="F821" s="36">
        <v>77.1</v>
      </c>
      <c r="G821" s="36"/>
      <c r="H821" s="36"/>
      <c r="I821" s="36"/>
      <c r="J821" s="36"/>
      <c r="K821" s="36"/>
    </row>
    <row r="822" spans="1:11" ht="15.75" customHeight="1">
      <c r="A822" s="13">
        <f t="shared" si="31"/>
        <v>818</v>
      </c>
      <c r="B822" s="34" t="s">
        <v>211</v>
      </c>
      <c r="C822" s="37">
        <v>1</v>
      </c>
      <c r="D822" s="36">
        <f t="shared" si="32"/>
        <v>114.9</v>
      </c>
      <c r="E822" s="36">
        <v>114.9</v>
      </c>
      <c r="F822" s="36">
        <v>81.7</v>
      </c>
      <c r="G822" s="36"/>
      <c r="H822" s="36"/>
      <c r="I822" s="36"/>
      <c r="J822" s="36"/>
      <c r="K822" s="36"/>
    </row>
    <row r="823" spans="1:11" ht="15.75" customHeight="1">
      <c r="A823" s="13">
        <f t="shared" si="31"/>
        <v>819</v>
      </c>
      <c r="B823" s="34" t="s">
        <v>211</v>
      </c>
      <c r="C823" s="37">
        <v>2</v>
      </c>
      <c r="D823" s="36">
        <f t="shared" si="32"/>
        <v>111</v>
      </c>
      <c r="E823" s="36">
        <v>111</v>
      </c>
      <c r="F823" s="36">
        <v>80.3</v>
      </c>
      <c r="G823" s="36"/>
      <c r="H823" s="36"/>
      <c r="I823" s="36"/>
      <c r="J823" s="36"/>
      <c r="K823" s="36"/>
    </row>
    <row r="824" spans="1:11" ht="15.75" customHeight="1">
      <c r="A824" s="13">
        <f t="shared" si="31"/>
        <v>820</v>
      </c>
      <c r="B824" s="34" t="s">
        <v>211</v>
      </c>
      <c r="C824" s="37">
        <v>3</v>
      </c>
      <c r="D824" s="36">
        <f t="shared" si="32"/>
        <v>109.5</v>
      </c>
      <c r="E824" s="36">
        <v>109.5</v>
      </c>
      <c r="F824" s="36">
        <v>78.6</v>
      </c>
      <c r="G824" s="36"/>
      <c r="H824" s="36"/>
      <c r="I824" s="36"/>
      <c r="J824" s="36"/>
      <c r="K824" s="36"/>
    </row>
    <row r="825" spans="1:11" ht="15.75" customHeight="1">
      <c r="A825" s="13">
        <f t="shared" si="31"/>
        <v>821</v>
      </c>
      <c r="B825" s="34" t="s">
        <v>211</v>
      </c>
      <c r="C825" s="37">
        <v>4</v>
      </c>
      <c r="D825" s="36">
        <f t="shared" si="32"/>
        <v>108.2</v>
      </c>
      <c r="E825" s="36">
        <v>108.2</v>
      </c>
      <c r="F825" s="36">
        <v>76.5</v>
      </c>
      <c r="G825" s="36"/>
      <c r="H825" s="36"/>
      <c r="I825" s="36"/>
      <c r="J825" s="36"/>
      <c r="K825" s="36"/>
    </row>
    <row r="826" spans="1:11" ht="15.75" customHeight="1">
      <c r="A826" s="13">
        <f t="shared" si="31"/>
        <v>822</v>
      </c>
      <c r="B826" s="34" t="s">
        <v>211</v>
      </c>
      <c r="C826" s="37">
        <v>5</v>
      </c>
      <c r="D826" s="36">
        <f t="shared" si="32"/>
        <v>108.6</v>
      </c>
      <c r="E826" s="36">
        <v>108.6</v>
      </c>
      <c r="F826" s="36">
        <v>75.4</v>
      </c>
      <c r="G826" s="36"/>
      <c r="H826" s="36"/>
      <c r="I826" s="36"/>
      <c r="J826" s="36"/>
      <c r="K826" s="36"/>
    </row>
    <row r="827" spans="1:11" ht="15.75" customHeight="1">
      <c r="A827" s="13">
        <f t="shared" si="31"/>
        <v>823</v>
      </c>
      <c r="B827" s="34" t="s">
        <v>211</v>
      </c>
      <c r="C827" s="37">
        <v>6</v>
      </c>
      <c r="D827" s="36">
        <f t="shared" si="32"/>
        <v>92.2</v>
      </c>
      <c r="E827" s="36">
        <v>92.2</v>
      </c>
      <c r="F827" s="36">
        <v>70.6</v>
      </c>
      <c r="G827" s="36"/>
      <c r="H827" s="36"/>
      <c r="I827" s="36"/>
      <c r="J827" s="36"/>
      <c r="K827" s="36"/>
    </row>
    <row r="828" spans="1:11" ht="15.75" customHeight="1">
      <c r="A828" s="13">
        <f t="shared" si="31"/>
        <v>824</v>
      </c>
      <c r="B828" s="34" t="s">
        <v>211</v>
      </c>
      <c r="C828" s="37">
        <v>7</v>
      </c>
      <c r="D828" s="36">
        <f t="shared" si="32"/>
        <v>118</v>
      </c>
      <c r="E828" s="36">
        <f>110.2+7.8</f>
        <v>118</v>
      </c>
      <c r="F828" s="36">
        <v>79.1</v>
      </c>
      <c r="G828" s="36"/>
      <c r="H828" s="36"/>
      <c r="I828" s="36"/>
      <c r="J828" s="36"/>
      <c r="K828" s="36"/>
    </row>
    <row r="829" spans="1:11" ht="15.75" customHeight="1">
      <c r="A829" s="13">
        <f t="shared" si="31"/>
        <v>825</v>
      </c>
      <c r="B829" s="34" t="s">
        <v>211</v>
      </c>
      <c r="C829" s="37">
        <v>8</v>
      </c>
      <c r="D829" s="36">
        <f t="shared" si="32"/>
        <v>94.4</v>
      </c>
      <c r="E829" s="36">
        <v>94.4</v>
      </c>
      <c r="F829" s="36">
        <v>68.2</v>
      </c>
      <c r="G829" s="36"/>
      <c r="H829" s="36"/>
      <c r="I829" s="36"/>
      <c r="J829" s="36"/>
      <c r="K829" s="36"/>
    </row>
    <row r="830" spans="1:11" ht="15.75" customHeight="1">
      <c r="A830" s="13">
        <f t="shared" si="31"/>
        <v>826</v>
      </c>
      <c r="B830" s="34" t="s">
        <v>211</v>
      </c>
      <c r="C830" s="37">
        <v>9</v>
      </c>
      <c r="D830" s="36">
        <f t="shared" si="32"/>
        <v>108.1</v>
      </c>
      <c r="E830" s="36">
        <v>108.1</v>
      </c>
      <c r="F830" s="36">
        <v>91.9</v>
      </c>
      <c r="G830" s="36"/>
      <c r="H830" s="36"/>
      <c r="I830" s="36"/>
      <c r="J830" s="36"/>
      <c r="K830" s="36"/>
    </row>
    <row r="831" spans="1:11" ht="15.75" customHeight="1">
      <c r="A831" s="13">
        <f t="shared" si="31"/>
        <v>827</v>
      </c>
      <c r="B831" s="34" t="s">
        <v>211</v>
      </c>
      <c r="C831" s="37">
        <v>11</v>
      </c>
      <c r="D831" s="36">
        <f t="shared" si="32"/>
        <v>111.4</v>
      </c>
      <c r="E831" s="36">
        <v>111.4</v>
      </c>
      <c r="F831" s="36">
        <v>80.9</v>
      </c>
      <c r="G831" s="36"/>
      <c r="H831" s="36"/>
      <c r="I831" s="36"/>
      <c r="J831" s="36"/>
      <c r="K831" s="36"/>
    </row>
    <row r="832" spans="1:11" ht="15.75" customHeight="1">
      <c r="A832" s="13">
        <f t="shared" si="31"/>
        <v>828</v>
      </c>
      <c r="B832" s="34" t="s">
        <v>211</v>
      </c>
      <c r="C832" s="37">
        <v>12</v>
      </c>
      <c r="D832" s="36">
        <f t="shared" si="32"/>
        <v>111.7</v>
      </c>
      <c r="E832" s="36">
        <v>111.7</v>
      </c>
      <c r="F832" s="36">
        <v>80.3</v>
      </c>
      <c r="G832" s="36"/>
      <c r="H832" s="36"/>
      <c r="I832" s="36"/>
      <c r="J832" s="36"/>
      <c r="K832" s="36"/>
    </row>
    <row r="833" spans="1:11" ht="15.75" customHeight="1">
      <c r="A833" s="13">
        <f t="shared" si="31"/>
        <v>829</v>
      </c>
      <c r="B833" s="34" t="s">
        <v>211</v>
      </c>
      <c r="C833" s="37">
        <v>16</v>
      </c>
      <c r="D833" s="36">
        <f t="shared" si="32"/>
        <v>127.6</v>
      </c>
      <c r="E833" s="36">
        <v>127.6</v>
      </c>
      <c r="F833" s="36">
        <v>93.6</v>
      </c>
      <c r="G833" s="36"/>
      <c r="H833" s="36"/>
      <c r="I833" s="36"/>
      <c r="J833" s="36"/>
      <c r="K833" s="36"/>
    </row>
    <row r="834" spans="1:11" ht="15.75" customHeight="1">
      <c r="A834" s="13">
        <f t="shared" si="31"/>
        <v>830</v>
      </c>
      <c r="B834" s="34" t="s">
        <v>212</v>
      </c>
      <c r="C834" s="37">
        <v>2</v>
      </c>
      <c r="D834" s="36">
        <f t="shared" si="32"/>
        <v>115.9</v>
      </c>
      <c r="E834" s="36">
        <f>108.9+7</f>
        <v>115.9</v>
      </c>
      <c r="F834" s="36">
        <v>77.2</v>
      </c>
      <c r="G834" s="36"/>
      <c r="H834" s="36"/>
      <c r="I834" s="36"/>
      <c r="J834" s="36"/>
      <c r="K834" s="36"/>
    </row>
    <row r="835" spans="1:11" ht="15.75" customHeight="1">
      <c r="A835" s="13">
        <f t="shared" si="31"/>
        <v>831</v>
      </c>
      <c r="B835" s="34" t="s">
        <v>212</v>
      </c>
      <c r="C835" s="37">
        <v>3</v>
      </c>
      <c r="D835" s="36">
        <f t="shared" si="32"/>
        <v>114.5</v>
      </c>
      <c r="E835" s="36">
        <f>105.7+8.8</f>
        <v>114.5</v>
      </c>
      <c r="F835" s="36">
        <v>74.8</v>
      </c>
      <c r="G835" s="36"/>
      <c r="H835" s="36"/>
      <c r="I835" s="36"/>
      <c r="J835" s="36"/>
      <c r="K835" s="36"/>
    </row>
    <row r="836" spans="1:11" ht="15.75" customHeight="1">
      <c r="A836" s="13">
        <f t="shared" si="31"/>
        <v>832</v>
      </c>
      <c r="B836" s="34" t="s">
        <v>212</v>
      </c>
      <c r="C836" s="37">
        <v>4</v>
      </c>
      <c r="D836" s="36">
        <f t="shared" si="32"/>
        <v>107.9</v>
      </c>
      <c r="E836" s="36">
        <v>107.9</v>
      </c>
      <c r="F836" s="36">
        <v>84.7</v>
      </c>
      <c r="G836" s="36"/>
      <c r="H836" s="36"/>
      <c r="I836" s="36"/>
      <c r="J836" s="36"/>
      <c r="K836" s="36"/>
    </row>
    <row r="837" spans="1:11" ht="15.75" customHeight="1">
      <c r="A837" s="13">
        <f t="shared" si="31"/>
        <v>833</v>
      </c>
      <c r="B837" s="34" t="s">
        <v>212</v>
      </c>
      <c r="C837" s="37">
        <v>5</v>
      </c>
      <c r="D837" s="36">
        <f t="shared" si="32"/>
        <v>90.9</v>
      </c>
      <c r="E837" s="36">
        <v>90.9</v>
      </c>
      <c r="F837" s="36">
        <v>63.8</v>
      </c>
      <c r="G837" s="36"/>
      <c r="H837" s="36"/>
      <c r="I837" s="36"/>
      <c r="J837" s="36"/>
      <c r="K837" s="36"/>
    </row>
    <row r="838" spans="1:11" ht="15.75" customHeight="1">
      <c r="A838" s="13">
        <f aca="true" t="shared" si="33" ref="A838:A888">A837+1</f>
        <v>834</v>
      </c>
      <c r="B838" s="34" t="s">
        <v>212</v>
      </c>
      <c r="C838" s="37">
        <v>6</v>
      </c>
      <c r="D838" s="36">
        <f t="shared" si="32"/>
        <v>109.8</v>
      </c>
      <c r="E838" s="36">
        <v>109.8</v>
      </c>
      <c r="F838" s="36">
        <v>69.4</v>
      </c>
      <c r="G838" s="36"/>
      <c r="H838" s="36"/>
      <c r="I838" s="36"/>
      <c r="J838" s="36"/>
      <c r="K838" s="36"/>
    </row>
    <row r="839" spans="1:11" ht="15.75" customHeight="1">
      <c r="A839" s="13">
        <f t="shared" si="33"/>
        <v>835</v>
      </c>
      <c r="B839" s="34" t="s">
        <v>212</v>
      </c>
      <c r="C839" s="37">
        <v>8</v>
      </c>
      <c r="D839" s="36">
        <f t="shared" si="32"/>
        <v>111.8</v>
      </c>
      <c r="E839" s="36">
        <v>111.8</v>
      </c>
      <c r="F839" s="36">
        <v>80.7</v>
      </c>
      <c r="G839" s="36"/>
      <c r="H839" s="36"/>
      <c r="I839" s="36"/>
      <c r="J839" s="36"/>
      <c r="K839" s="36"/>
    </row>
    <row r="840" spans="1:11" ht="15.75" customHeight="1">
      <c r="A840" s="13">
        <f t="shared" si="33"/>
        <v>836</v>
      </c>
      <c r="B840" s="34" t="s">
        <v>212</v>
      </c>
      <c r="C840" s="37">
        <v>10</v>
      </c>
      <c r="D840" s="36">
        <f t="shared" si="32"/>
        <v>110</v>
      </c>
      <c r="E840" s="36">
        <v>110</v>
      </c>
      <c r="F840" s="36">
        <v>78.7</v>
      </c>
      <c r="G840" s="36"/>
      <c r="H840" s="36"/>
      <c r="I840" s="36"/>
      <c r="J840" s="36"/>
      <c r="K840" s="36"/>
    </row>
    <row r="841" spans="1:11" ht="15.75" customHeight="1">
      <c r="A841" s="13">
        <f t="shared" si="33"/>
        <v>837</v>
      </c>
      <c r="B841" s="34" t="s">
        <v>213</v>
      </c>
      <c r="C841" s="37">
        <v>1</v>
      </c>
      <c r="D841" s="36">
        <f t="shared" si="32"/>
        <v>104.8</v>
      </c>
      <c r="E841" s="36">
        <v>104.8</v>
      </c>
      <c r="F841" s="36">
        <v>79.4</v>
      </c>
      <c r="G841" s="36"/>
      <c r="H841" s="36"/>
      <c r="I841" s="36"/>
      <c r="J841" s="36"/>
      <c r="K841" s="36"/>
    </row>
    <row r="842" spans="1:11" ht="15.75" customHeight="1">
      <c r="A842" s="13">
        <f t="shared" si="33"/>
        <v>838</v>
      </c>
      <c r="B842" s="34" t="s">
        <v>213</v>
      </c>
      <c r="C842" s="37">
        <v>3</v>
      </c>
      <c r="D842" s="36">
        <f t="shared" si="32"/>
        <v>107.1</v>
      </c>
      <c r="E842" s="36">
        <v>107.1</v>
      </c>
      <c r="F842" s="36">
        <v>69.3</v>
      </c>
      <c r="G842" s="36"/>
      <c r="H842" s="36"/>
      <c r="I842" s="36"/>
      <c r="J842" s="36"/>
      <c r="K842" s="36"/>
    </row>
    <row r="843" spans="1:11" ht="15.75" customHeight="1">
      <c r="A843" s="13">
        <f t="shared" si="33"/>
        <v>839</v>
      </c>
      <c r="B843" s="34" t="s">
        <v>213</v>
      </c>
      <c r="C843" s="37">
        <v>5</v>
      </c>
      <c r="D843" s="36">
        <f t="shared" si="32"/>
        <v>101.7</v>
      </c>
      <c r="E843" s="36">
        <v>101.7</v>
      </c>
      <c r="F843" s="36">
        <v>76.9</v>
      </c>
      <c r="G843" s="36"/>
      <c r="H843" s="36"/>
      <c r="I843" s="36"/>
      <c r="J843" s="36"/>
      <c r="K843" s="36"/>
    </row>
    <row r="844" spans="1:11" ht="15.75" customHeight="1">
      <c r="A844" s="13">
        <f t="shared" si="33"/>
        <v>840</v>
      </c>
      <c r="B844" s="34" t="s">
        <v>213</v>
      </c>
      <c r="C844" s="37">
        <v>7</v>
      </c>
      <c r="D844" s="36">
        <f t="shared" si="32"/>
        <v>101.5</v>
      </c>
      <c r="E844" s="36">
        <v>101.5</v>
      </c>
      <c r="F844" s="36">
        <v>77.2</v>
      </c>
      <c r="G844" s="36"/>
      <c r="H844" s="36"/>
      <c r="I844" s="36"/>
      <c r="J844" s="36"/>
      <c r="K844" s="36"/>
    </row>
    <row r="845" spans="1:11" ht="15.75" customHeight="1">
      <c r="A845" s="13">
        <f t="shared" si="33"/>
        <v>841</v>
      </c>
      <c r="B845" s="34" t="s">
        <v>213</v>
      </c>
      <c r="C845" s="37">
        <v>9</v>
      </c>
      <c r="D845" s="36">
        <f t="shared" si="32"/>
        <v>114</v>
      </c>
      <c r="E845" s="36">
        <f>105.3+8.7</f>
        <v>114</v>
      </c>
      <c r="F845" s="36">
        <v>80.1</v>
      </c>
      <c r="G845" s="36"/>
      <c r="H845" s="36"/>
      <c r="I845" s="36"/>
      <c r="J845" s="36"/>
      <c r="K845" s="36"/>
    </row>
    <row r="846" spans="1:11" ht="15.75" customHeight="1">
      <c r="A846" s="13">
        <f t="shared" si="33"/>
        <v>842</v>
      </c>
      <c r="B846" s="34" t="s">
        <v>213</v>
      </c>
      <c r="C846" s="37">
        <v>11</v>
      </c>
      <c r="D846" s="36">
        <f t="shared" si="32"/>
        <v>106.5</v>
      </c>
      <c r="E846" s="36">
        <v>106.5</v>
      </c>
      <c r="F846" s="36">
        <v>70.6</v>
      </c>
      <c r="G846" s="36"/>
      <c r="H846" s="36"/>
      <c r="I846" s="36"/>
      <c r="J846" s="36"/>
      <c r="K846" s="36"/>
    </row>
    <row r="847" spans="1:11" ht="15.75" customHeight="1">
      <c r="A847" s="13">
        <f t="shared" si="33"/>
        <v>843</v>
      </c>
      <c r="B847" s="34" t="s">
        <v>213</v>
      </c>
      <c r="C847" s="37">
        <v>12</v>
      </c>
      <c r="D847" s="36">
        <f t="shared" si="32"/>
        <v>363.2</v>
      </c>
      <c r="E847" s="36">
        <v>363.2</v>
      </c>
      <c r="F847" s="36">
        <v>256.9</v>
      </c>
      <c r="G847" s="36"/>
      <c r="H847" s="36"/>
      <c r="I847" s="36"/>
      <c r="J847" s="36"/>
      <c r="K847" s="36"/>
    </row>
    <row r="848" spans="1:11" ht="15.75" customHeight="1">
      <c r="A848" s="13">
        <f t="shared" si="33"/>
        <v>844</v>
      </c>
      <c r="B848" s="34" t="s">
        <v>214</v>
      </c>
      <c r="C848" s="37">
        <v>11</v>
      </c>
      <c r="D848" s="36">
        <f t="shared" si="32"/>
        <v>366.5</v>
      </c>
      <c r="E848" s="36">
        <v>363.9</v>
      </c>
      <c r="F848" s="36">
        <v>266</v>
      </c>
      <c r="G848" s="36"/>
      <c r="H848" s="36">
        <v>2.6</v>
      </c>
      <c r="I848" s="36"/>
      <c r="J848" s="36"/>
      <c r="K848" s="36"/>
    </row>
    <row r="849" spans="1:11" ht="15.75" customHeight="1">
      <c r="A849" s="13">
        <f t="shared" si="33"/>
        <v>845</v>
      </c>
      <c r="B849" s="34" t="s">
        <v>214</v>
      </c>
      <c r="C849" s="37">
        <v>13</v>
      </c>
      <c r="D849" s="36">
        <f t="shared" si="32"/>
        <v>360</v>
      </c>
      <c r="E849" s="36">
        <v>360</v>
      </c>
      <c r="F849" s="36">
        <v>258.9</v>
      </c>
      <c r="G849" s="36"/>
      <c r="H849" s="36"/>
      <c r="I849" s="36"/>
      <c r="J849" s="36"/>
      <c r="K849" s="36"/>
    </row>
    <row r="850" spans="1:11" ht="15.75" customHeight="1">
      <c r="A850" s="13">
        <f t="shared" si="33"/>
        <v>846</v>
      </c>
      <c r="B850" s="34" t="s">
        <v>214</v>
      </c>
      <c r="C850" s="37">
        <v>15</v>
      </c>
      <c r="D850" s="36">
        <f t="shared" si="32"/>
        <v>362.4</v>
      </c>
      <c r="E850" s="36">
        <v>362.4</v>
      </c>
      <c r="F850" s="36">
        <v>256.7</v>
      </c>
      <c r="G850" s="36"/>
      <c r="H850" s="36"/>
      <c r="I850" s="36"/>
      <c r="J850" s="36"/>
      <c r="K850" s="36"/>
    </row>
    <row r="851" spans="1:11" ht="15.75" customHeight="1">
      <c r="A851" s="13">
        <f t="shared" si="33"/>
        <v>847</v>
      </c>
      <c r="B851" s="34" t="s">
        <v>214</v>
      </c>
      <c r="C851" s="37">
        <v>19</v>
      </c>
      <c r="D851" s="36">
        <f t="shared" si="32"/>
        <v>376.2</v>
      </c>
      <c r="E851" s="36">
        <v>373.3</v>
      </c>
      <c r="F851" s="36">
        <v>265.9</v>
      </c>
      <c r="G851" s="36"/>
      <c r="H851" s="36">
        <v>2.9</v>
      </c>
      <c r="I851" s="36"/>
      <c r="J851" s="36"/>
      <c r="K851" s="36"/>
    </row>
    <row r="852" spans="1:11" ht="15.75" customHeight="1">
      <c r="A852" s="13">
        <f t="shared" si="33"/>
        <v>848</v>
      </c>
      <c r="B852" s="34" t="s">
        <v>214</v>
      </c>
      <c r="C852" s="37">
        <v>23</v>
      </c>
      <c r="D852" s="36">
        <f t="shared" si="32"/>
        <v>358.4</v>
      </c>
      <c r="E852" s="36">
        <v>358.4</v>
      </c>
      <c r="F852" s="36">
        <v>261.9</v>
      </c>
      <c r="G852" s="36"/>
      <c r="H852" s="36"/>
      <c r="I852" s="36"/>
      <c r="J852" s="36"/>
      <c r="K852" s="36"/>
    </row>
    <row r="853" spans="1:11" ht="15.75" customHeight="1">
      <c r="A853" s="13">
        <f t="shared" si="33"/>
        <v>849</v>
      </c>
      <c r="B853" s="34" t="s">
        <v>214</v>
      </c>
      <c r="C853" s="37">
        <v>27</v>
      </c>
      <c r="D853" s="36">
        <f t="shared" si="32"/>
        <v>348.6</v>
      </c>
      <c r="E853" s="36">
        <v>348.6</v>
      </c>
      <c r="F853" s="36">
        <v>244.3</v>
      </c>
      <c r="G853" s="36"/>
      <c r="H853" s="36"/>
      <c r="I853" s="36"/>
      <c r="J853" s="36"/>
      <c r="K853" s="36"/>
    </row>
    <row r="854" spans="1:11" ht="15.75" customHeight="1">
      <c r="A854" s="13">
        <f t="shared" si="33"/>
        <v>850</v>
      </c>
      <c r="B854" s="34" t="s">
        <v>215</v>
      </c>
      <c r="C854" s="37">
        <v>35</v>
      </c>
      <c r="D854" s="36">
        <f t="shared" si="32"/>
        <v>127.2</v>
      </c>
      <c r="E854" s="36">
        <v>127.2</v>
      </c>
      <c r="F854" s="36">
        <v>85.1</v>
      </c>
      <c r="G854" s="36"/>
      <c r="H854" s="36"/>
      <c r="I854" s="36"/>
      <c r="J854" s="36"/>
      <c r="K854" s="36"/>
    </row>
    <row r="855" spans="1:11" ht="15.75" customHeight="1">
      <c r="A855" s="13">
        <f t="shared" si="33"/>
        <v>851</v>
      </c>
      <c r="B855" s="34" t="s">
        <v>215</v>
      </c>
      <c r="C855" s="37">
        <v>36</v>
      </c>
      <c r="D855" s="36">
        <f t="shared" si="32"/>
        <v>131.4</v>
      </c>
      <c r="E855" s="36">
        <v>131.4</v>
      </c>
      <c r="F855" s="36">
        <v>94.6</v>
      </c>
      <c r="G855" s="36"/>
      <c r="H855" s="36"/>
      <c r="I855" s="36"/>
      <c r="J855" s="36"/>
      <c r="K855" s="36"/>
    </row>
    <row r="856" spans="1:11" ht="15.75" customHeight="1">
      <c r="A856" s="13">
        <f t="shared" si="33"/>
        <v>852</v>
      </c>
      <c r="B856" s="34" t="s">
        <v>215</v>
      </c>
      <c r="C856" s="37">
        <v>37</v>
      </c>
      <c r="D856" s="36">
        <f t="shared" si="32"/>
        <v>119.9</v>
      </c>
      <c r="E856" s="36">
        <v>119.9</v>
      </c>
      <c r="F856" s="36">
        <v>80</v>
      </c>
      <c r="G856" s="36"/>
      <c r="H856" s="36"/>
      <c r="I856" s="36"/>
      <c r="J856" s="36"/>
      <c r="K856" s="36"/>
    </row>
    <row r="857" spans="1:11" ht="15.75" customHeight="1">
      <c r="A857" s="13">
        <f t="shared" si="33"/>
        <v>853</v>
      </c>
      <c r="B857" s="34" t="s">
        <v>215</v>
      </c>
      <c r="C857" s="37">
        <v>38</v>
      </c>
      <c r="D857" s="36">
        <f t="shared" si="32"/>
        <v>179.7</v>
      </c>
      <c r="E857" s="36">
        <v>179.7</v>
      </c>
      <c r="F857" s="36">
        <v>121.8</v>
      </c>
      <c r="G857" s="36"/>
      <c r="H857" s="36"/>
      <c r="I857" s="36"/>
      <c r="J857" s="36"/>
      <c r="K857" s="36"/>
    </row>
    <row r="858" spans="1:11" ht="15.75" customHeight="1">
      <c r="A858" s="13">
        <f t="shared" si="33"/>
        <v>854</v>
      </c>
      <c r="B858" s="34" t="s">
        <v>215</v>
      </c>
      <c r="C858" s="37">
        <v>39</v>
      </c>
      <c r="D858" s="36">
        <f t="shared" si="32"/>
        <v>86.4</v>
      </c>
      <c r="E858" s="36">
        <f>68.9+17.5</f>
        <v>86.4</v>
      </c>
      <c r="F858" s="36">
        <f>52.3-0.4</f>
        <v>51.9</v>
      </c>
      <c r="G858" s="36"/>
      <c r="H858" s="36"/>
      <c r="I858" s="36"/>
      <c r="J858" s="36"/>
      <c r="K858" s="36"/>
    </row>
    <row r="859" spans="1:11" ht="15.75" customHeight="1">
      <c r="A859" s="13">
        <f t="shared" si="33"/>
        <v>855</v>
      </c>
      <c r="B859" s="34" t="s">
        <v>215</v>
      </c>
      <c r="C859" s="37">
        <v>40</v>
      </c>
      <c r="D859" s="36">
        <f t="shared" si="32"/>
        <v>144.2</v>
      </c>
      <c r="E859" s="36">
        <v>144.2</v>
      </c>
      <c r="F859" s="36">
        <v>100.9</v>
      </c>
      <c r="G859" s="36"/>
      <c r="H859" s="36"/>
      <c r="I859" s="36"/>
      <c r="J859" s="36"/>
      <c r="K859" s="36"/>
    </row>
    <row r="860" spans="1:11" ht="15.75" customHeight="1">
      <c r="A860" s="13">
        <f t="shared" si="33"/>
        <v>856</v>
      </c>
      <c r="B860" s="34" t="s">
        <v>215</v>
      </c>
      <c r="C860" s="37">
        <v>41</v>
      </c>
      <c r="D860" s="36">
        <f t="shared" si="32"/>
        <v>69.5</v>
      </c>
      <c r="E860" s="36">
        <f>80.8-11.3</f>
        <v>69.5</v>
      </c>
      <c r="F860" s="36">
        <v>61.5</v>
      </c>
      <c r="G860" s="36"/>
      <c r="H860" s="36"/>
      <c r="I860" s="36"/>
      <c r="J860" s="36"/>
      <c r="K860" s="36"/>
    </row>
    <row r="861" spans="1:11" ht="15.75" customHeight="1">
      <c r="A861" s="13">
        <f t="shared" si="33"/>
        <v>857</v>
      </c>
      <c r="B861" s="34" t="s">
        <v>215</v>
      </c>
      <c r="C861" s="37">
        <v>42</v>
      </c>
      <c r="D861" s="36">
        <f t="shared" si="32"/>
        <v>139.2</v>
      </c>
      <c r="E861" s="36">
        <v>139.2</v>
      </c>
      <c r="F861" s="36">
        <v>76.6</v>
      </c>
      <c r="G861" s="36"/>
      <c r="H861" s="36"/>
      <c r="I861" s="36"/>
      <c r="J861" s="36"/>
      <c r="K861" s="36"/>
    </row>
    <row r="862" spans="1:11" ht="15.75" customHeight="1">
      <c r="A862" s="13">
        <f t="shared" si="33"/>
        <v>858</v>
      </c>
      <c r="B862" s="34" t="s">
        <v>215</v>
      </c>
      <c r="C862" s="37">
        <v>43</v>
      </c>
      <c r="D862" s="36">
        <f t="shared" si="32"/>
        <v>106.5</v>
      </c>
      <c r="E862" s="36">
        <v>106.5</v>
      </c>
      <c r="F862" s="36">
        <v>59.8</v>
      </c>
      <c r="G862" s="36"/>
      <c r="H862" s="36"/>
      <c r="I862" s="36"/>
      <c r="J862" s="36"/>
      <c r="K862" s="36"/>
    </row>
    <row r="863" spans="1:11" ht="15.75" customHeight="1">
      <c r="A863" s="13">
        <f t="shared" si="33"/>
        <v>859</v>
      </c>
      <c r="B863" s="34" t="s">
        <v>215</v>
      </c>
      <c r="C863" s="37">
        <v>44</v>
      </c>
      <c r="D863" s="36">
        <f t="shared" si="32"/>
        <v>149.79999999999998</v>
      </c>
      <c r="E863" s="36">
        <f>143.6+6.2</f>
        <v>149.79999999999998</v>
      </c>
      <c r="F863" s="36">
        <v>93.1</v>
      </c>
      <c r="G863" s="36"/>
      <c r="H863" s="36"/>
      <c r="I863" s="36"/>
      <c r="J863" s="36"/>
      <c r="K863" s="36"/>
    </row>
    <row r="864" spans="1:11" ht="15.75" customHeight="1">
      <c r="A864" s="13">
        <f t="shared" si="33"/>
        <v>860</v>
      </c>
      <c r="B864" s="34" t="s">
        <v>215</v>
      </c>
      <c r="C864" s="37">
        <v>45</v>
      </c>
      <c r="D864" s="36">
        <f t="shared" si="32"/>
        <v>87.29999999999998</v>
      </c>
      <c r="E864" s="36">
        <f>67.1+14.1+6.1</f>
        <v>87.29999999999998</v>
      </c>
      <c r="F864" s="36">
        <v>51.4</v>
      </c>
      <c r="G864" s="36"/>
      <c r="H864" s="36"/>
      <c r="I864" s="36"/>
      <c r="J864" s="36"/>
      <c r="K864" s="36"/>
    </row>
    <row r="865" spans="1:11" ht="15.75" customHeight="1">
      <c r="A865" s="13">
        <f t="shared" si="33"/>
        <v>861</v>
      </c>
      <c r="B865" s="34" t="s">
        <v>215</v>
      </c>
      <c r="C865" s="37">
        <v>47</v>
      </c>
      <c r="D865" s="36">
        <f t="shared" si="32"/>
        <v>77.60000000000001</v>
      </c>
      <c r="E865" s="36">
        <f>67.7+9.9</f>
        <v>77.60000000000001</v>
      </c>
      <c r="F865" s="36">
        <v>52.7</v>
      </c>
      <c r="G865" s="36"/>
      <c r="H865" s="36"/>
      <c r="I865" s="36"/>
      <c r="J865" s="36"/>
      <c r="K865" s="36"/>
    </row>
    <row r="866" spans="1:11" ht="15.75" customHeight="1">
      <c r="A866" s="13">
        <f t="shared" si="33"/>
        <v>862</v>
      </c>
      <c r="B866" s="34" t="s">
        <v>215</v>
      </c>
      <c r="C866" s="37">
        <v>49</v>
      </c>
      <c r="D866" s="36">
        <f t="shared" si="32"/>
        <v>132.1</v>
      </c>
      <c r="E866" s="36">
        <v>132.1</v>
      </c>
      <c r="F866" s="36">
        <v>91.6</v>
      </c>
      <c r="G866" s="36"/>
      <c r="H866" s="36"/>
      <c r="I866" s="36"/>
      <c r="J866" s="36"/>
      <c r="K866" s="36"/>
    </row>
    <row r="867" spans="1:11" ht="15.75" customHeight="1">
      <c r="A867" s="13">
        <f t="shared" si="33"/>
        <v>863</v>
      </c>
      <c r="B867" s="34" t="s">
        <v>215</v>
      </c>
      <c r="C867" s="37">
        <v>51</v>
      </c>
      <c r="D867" s="36">
        <f t="shared" si="32"/>
        <v>93.5</v>
      </c>
      <c r="E867" s="36">
        <v>93.5</v>
      </c>
      <c r="F867" s="36">
        <v>70.2</v>
      </c>
      <c r="G867" s="36"/>
      <c r="H867" s="36"/>
      <c r="I867" s="36"/>
      <c r="J867" s="36"/>
      <c r="K867" s="36"/>
    </row>
    <row r="868" spans="1:11" ht="15.75" customHeight="1">
      <c r="A868" s="13">
        <f t="shared" si="33"/>
        <v>864</v>
      </c>
      <c r="B868" s="34" t="s">
        <v>215</v>
      </c>
      <c r="C868" s="37">
        <v>53</v>
      </c>
      <c r="D868" s="36">
        <f t="shared" si="32"/>
        <v>81.1</v>
      </c>
      <c r="E868" s="36">
        <v>81.1</v>
      </c>
      <c r="F868" s="36">
        <v>59.6</v>
      </c>
      <c r="G868" s="36"/>
      <c r="H868" s="36"/>
      <c r="I868" s="36"/>
      <c r="J868" s="36"/>
      <c r="K868" s="36"/>
    </row>
    <row r="869" spans="1:11" ht="15.75" customHeight="1">
      <c r="A869" s="13">
        <f t="shared" si="33"/>
        <v>865</v>
      </c>
      <c r="B869" s="34" t="s">
        <v>215</v>
      </c>
      <c r="C869" s="37">
        <v>55</v>
      </c>
      <c r="D869" s="36">
        <f t="shared" si="32"/>
        <v>66.7</v>
      </c>
      <c r="E869" s="36">
        <v>66.7</v>
      </c>
      <c r="F869" s="36">
        <v>49.8</v>
      </c>
      <c r="G869" s="36"/>
      <c r="H869" s="36"/>
      <c r="I869" s="36"/>
      <c r="J869" s="36"/>
      <c r="K869" s="36"/>
    </row>
    <row r="870" spans="1:11" ht="15.75" customHeight="1">
      <c r="A870" s="13">
        <f t="shared" si="33"/>
        <v>866</v>
      </c>
      <c r="B870" s="34" t="s">
        <v>215</v>
      </c>
      <c r="C870" s="37">
        <v>57</v>
      </c>
      <c r="D870" s="36">
        <f t="shared" si="32"/>
        <v>67.1</v>
      </c>
      <c r="E870" s="36">
        <v>67.1</v>
      </c>
      <c r="F870" s="36">
        <v>48.4</v>
      </c>
      <c r="G870" s="36"/>
      <c r="H870" s="36"/>
      <c r="I870" s="36"/>
      <c r="J870" s="36"/>
      <c r="K870" s="36"/>
    </row>
    <row r="871" spans="1:11" ht="15.75" customHeight="1">
      <c r="A871" s="13">
        <f t="shared" si="33"/>
        <v>867</v>
      </c>
      <c r="B871" s="34" t="s">
        <v>215</v>
      </c>
      <c r="C871" s="37">
        <v>59</v>
      </c>
      <c r="D871" s="36">
        <f t="shared" si="32"/>
        <v>99.7</v>
      </c>
      <c r="E871" s="36">
        <v>99.7</v>
      </c>
      <c r="F871" s="36">
        <v>69.8</v>
      </c>
      <c r="G871" s="36"/>
      <c r="H871" s="36"/>
      <c r="I871" s="36"/>
      <c r="J871" s="36"/>
      <c r="K871" s="36"/>
    </row>
    <row r="872" spans="1:11" ht="15.75" customHeight="1">
      <c r="A872" s="13">
        <f t="shared" si="33"/>
        <v>868</v>
      </c>
      <c r="B872" s="34" t="s">
        <v>215</v>
      </c>
      <c r="C872" s="37">
        <v>61</v>
      </c>
      <c r="D872" s="36">
        <f t="shared" si="32"/>
        <v>108.6</v>
      </c>
      <c r="E872" s="36">
        <v>108.6</v>
      </c>
      <c r="F872" s="36">
        <v>77.6</v>
      </c>
      <c r="G872" s="36"/>
      <c r="H872" s="36"/>
      <c r="I872" s="36"/>
      <c r="J872" s="36"/>
      <c r="K872" s="36"/>
    </row>
    <row r="873" spans="1:11" ht="15.75" customHeight="1">
      <c r="A873" s="13">
        <f t="shared" si="33"/>
        <v>869</v>
      </c>
      <c r="B873" s="34" t="s">
        <v>216</v>
      </c>
      <c r="C873" s="37">
        <v>3</v>
      </c>
      <c r="D873" s="36">
        <f t="shared" si="32"/>
        <v>561.6</v>
      </c>
      <c r="E873" s="36">
        <v>561.6</v>
      </c>
      <c r="F873" s="36">
        <v>321.7</v>
      </c>
      <c r="G873" s="36"/>
      <c r="H873" s="36"/>
      <c r="I873" s="36"/>
      <c r="J873" s="36"/>
      <c r="K873" s="36"/>
    </row>
    <row r="874" spans="1:11" ht="15.75" customHeight="1">
      <c r="A874" s="13">
        <f t="shared" si="33"/>
        <v>870</v>
      </c>
      <c r="B874" s="34" t="s">
        <v>216</v>
      </c>
      <c r="C874" s="37">
        <v>7</v>
      </c>
      <c r="D874" s="36">
        <f aca="true" t="shared" si="34" ref="D874:D888">E874+G874+H874</f>
        <v>445.5</v>
      </c>
      <c r="E874" s="36">
        <v>445.5</v>
      </c>
      <c r="F874" s="36">
        <v>291.3</v>
      </c>
      <c r="G874" s="36"/>
      <c r="H874" s="36"/>
      <c r="I874" s="36"/>
      <c r="J874" s="36"/>
      <c r="K874" s="36"/>
    </row>
    <row r="875" spans="1:11" ht="15.75" customHeight="1">
      <c r="A875" s="13">
        <f t="shared" si="33"/>
        <v>871</v>
      </c>
      <c r="B875" s="34" t="s">
        <v>216</v>
      </c>
      <c r="C875" s="37">
        <v>9</v>
      </c>
      <c r="D875" s="36">
        <f t="shared" si="34"/>
        <v>623.6</v>
      </c>
      <c r="E875" s="36">
        <f>623.6-3.9</f>
        <v>619.7</v>
      </c>
      <c r="F875" s="36">
        <v>333.1</v>
      </c>
      <c r="G875" s="36"/>
      <c r="H875" s="36">
        <v>3.9</v>
      </c>
      <c r="I875" s="36"/>
      <c r="J875" s="36"/>
      <c r="K875" s="36"/>
    </row>
    <row r="876" spans="1:11" ht="15.75" customHeight="1">
      <c r="A876" s="13">
        <f t="shared" si="33"/>
        <v>872</v>
      </c>
      <c r="B876" s="34" t="s">
        <v>216</v>
      </c>
      <c r="C876" s="37">
        <v>11</v>
      </c>
      <c r="D876" s="36">
        <f t="shared" si="34"/>
        <v>873.5</v>
      </c>
      <c r="E876" s="36">
        <f>874.2-0.7</f>
        <v>873.5</v>
      </c>
      <c r="F876" s="36">
        <v>559.3</v>
      </c>
      <c r="G876" s="36"/>
      <c r="H876" s="36"/>
      <c r="I876" s="36"/>
      <c r="J876" s="36"/>
      <c r="K876" s="36"/>
    </row>
    <row r="877" spans="1:11" ht="15.75" customHeight="1">
      <c r="A877" s="13">
        <f t="shared" si="33"/>
        <v>873</v>
      </c>
      <c r="B877" s="34" t="s">
        <v>216</v>
      </c>
      <c r="C877" s="37">
        <v>13</v>
      </c>
      <c r="D877" s="36">
        <f t="shared" si="34"/>
        <v>855.6</v>
      </c>
      <c r="E877" s="36">
        <v>855.6</v>
      </c>
      <c r="F877" s="36">
        <v>540.1</v>
      </c>
      <c r="G877" s="36"/>
      <c r="H877" s="36"/>
      <c r="I877" s="36"/>
      <c r="J877" s="36"/>
      <c r="K877" s="36"/>
    </row>
    <row r="878" spans="1:11" ht="15.75" customHeight="1">
      <c r="A878" s="13">
        <f t="shared" si="33"/>
        <v>874</v>
      </c>
      <c r="B878" s="34" t="s">
        <v>216</v>
      </c>
      <c r="C878" s="37">
        <v>15</v>
      </c>
      <c r="D878" s="36">
        <f t="shared" si="34"/>
        <v>748.2</v>
      </c>
      <c r="E878" s="36">
        <v>748.2</v>
      </c>
      <c r="F878" s="36">
        <v>437.2</v>
      </c>
      <c r="G878" s="36"/>
      <c r="H878" s="36"/>
      <c r="I878" s="36"/>
      <c r="J878" s="36"/>
      <c r="K878" s="36"/>
    </row>
    <row r="879" spans="1:11" ht="15.75" customHeight="1">
      <c r="A879" s="13">
        <f t="shared" si="33"/>
        <v>875</v>
      </c>
      <c r="B879" s="34" t="s">
        <v>216</v>
      </c>
      <c r="C879" s="37">
        <v>17</v>
      </c>
      <c r="D879" s="36">
        <f t="shared" si="34"/>
        <v>716.2</v>
      </c>
      <c r="E879" s="36">
        <v>716.2</v>
      </c>
      <c r="F879" s="36">
        <v>407.9</v>
      </c>
      <c r="G879" s="36"/>
      <c r="H879" s="36"/>
      <c r="I879" s="36"/>
      <c r="J879" s="36"/>
      <c r="K879" s="36"/>
    </row>
    <row r="880" spans="1:11" ht="15.75" customHeight="1">
      <c r="A880" s="13">
        <f t="shared" si="33"/>
        <v>876</v>
      </c>
      <c r="B880" s="34" t="s">
        <v>216</v>
      </c>
      <c r="C880" s="37">
        <v>19</v>
      </c>
      <c r="D880" s="36">
        <f t="shared" si="34"/>
        <v>376.6</v>
      </c>
      <c r="E880" s="36">
        <v>376.6</v>
      </c>
      <c r="F880" s="36">
        <v>227.8</v>
      </c>
      <c r="G880" s="36"/>
      <c r="H880" s="36"/>
      <c r="I880" s="36"/>
      <c r="J880" s="36"/>
      <c r="K880" s="36"/>
    </row>
    <row r="881" spans="1:11" ht="15.75" customHeight="1">
      <c r="A881" s="13">
        <f t="shared" si="33"/>
        <v>877</v>
      </c>
      <c r="B881" s="34" t="s">
        <v>216</v>
      </c>
      <c r="C881" s="37">
        <v>21</v>
      </c>
      <c r="D881" s="36">
        <f t="shared" si="34"/>
        <v>382.5</v>
      </c>
      <c r="E881" s="36">
        <v>382.5</v>
      </c>
      <c r="F881" s="36">
        <v>233.9</v>
      </c>
      <c r="G881" s="36"/>
      <c r="H881" s="36"/>
      <c r="I881" s="36"/>
      <c r="J881" s="36"/>
      <c r="K881" s="36"/>
    </row>
    <row r="882" spans="1:11" ht="15.75" customHeight="1">
      <c r="A882" s="13">
        <f t="shared" si="33"/>
        <v>878</v>
      </c>
      <c r="B882" s="34" t="s">
        <v>216</v>
      </c>
      <c r="C882" s="37">
        <v>23</v>
      </c>
      <c r="D882" s="36">
        <f t="shared" si="34"/>
        <v>701</v>
      </c>
      <c r="E882" s="36">
        <v>701</v>
      </c>
      <c r="F882" s="36">
        <v>395.1</v>
      </c>
      <c r="G882" s="36"/>
      <c r="H882" s="36"/>
      <c r="I882" s="36"/>
      <c r="J882" s="36"/>
      <c r="K882" s="36"/>
    </row>
    <row r="883" spans="1:11" ht="15.75" customHeight="1">
      <c r="A883" s="13">
        <f t="shared" si="33"/>
        <v>879</v>
      </c>
      <c r="B883" s="34" t="s">
        <v>216</v>
      </c>
      <c r="C883" s="37">
        <v>25</v>
      </c>
      <c r="D883" s="36">
        <f t="shared" si="34"/>
        <v>739.1</v>
      </c>
      <c r="E883" s="36">
        <f>742.1-3</f>
        <v>739.1</v>
      </c>
      <c r="F883" s="36">
        <v>424.4</v>
      </c>
      <c r="G883" s="36"/>
      <c r="H883" s="36"/>
      <c r="I883" s="36"/>
      <c r="J883" s="36"/>
      <c r="K883" s="36"/>
    </row>
    <row r="884" spans="1:11" ht="15.75" customHeight="1">
      <c r="A884" s="13">
        <f t="shared" si="33"/>
        <v>880</v>
      </c>
      <c r="B884" s="34" t="s">
        <v>216</v>
      </c>
      <c r="C884" s="37">
        <v>27</v>
      </c>
      <c r="D884" s="36">
        <f t="shared" si="34"/>
        <v>905.8</v>
      </c>
      <c r="E884" s="36">
        <v>905.8</v>
      </c>
      <c r="F884" s="36">
        <v>587.3</v>
      </c>
      <c r="G884" s="36"/>
      <c r="H884" s="36"/>
      <c r="I884" s="36"/>
      <c r="J884" s="36"/>
      <c r="K884" s="36"/>
    </row>
    <row r="885" spans="1:11" ht="15.75" customHeight="1">
      <c r="A885" s="13">
        <f t="shared" si="33"/>
        <v>881</v>
      </c>
      <c r="B885" s="34" t="s">
        <v>216</v>
      </c>
      <c r="C885" s="37" t="s">
        <v>217</v>
      </c>
      <c r="D885" s="36">
        <f t="shared" si="34"/>
        <v>473.2</v>
      </c>
      <c r="E885" s="36">
        <v>473.2</v>
      </c>
      <c r="F885" s="36">
        <v>352.6</v>
      </c>
      <c r="G885" s="36"/>
      <c r="H885" s="36"/>
      <c r="I885" s="36"/>
      <c r="J885" s="36"/>
      <c r="K885" s="36"/>
    </row>
    <row r="886" spans="1:11" ht="15.75" customHeight="1">
      <c r="A886" s="13">
        <f t="shared" si="33"/>
        <v>882</v>
      </c>
      <c r="B886" s="34" t="s">
        <v>216</v>
      </c>
      <c r="C886" s="37" t="s">
        <v>197</v>
      </c>
      <c r="D886" s="36">
        <f t="shared" si="34"/>
        <v>355.79999999999995</v>
      </c>
      <c r="E886" s="36">
        <f>355.4+0.4</f>
        <v>355.79999999999995</v>
      </c>
      <c r="F886" s="36">
        <v>214</v>
      </c>
      <c r="G886" s="36"/>
      <c r="H886" s="36"/>
      <c r="I886" s="36"/>
      <c r="J886" s="36"/>
      <c r="K886" s="36"/>
    </row>
    <row r="887" spans="1:11" ht="15.75" customHeight="1">
      <c r="A887" s="13">
        <f t="shared" si="33"/>
        <v>883</v>
      </c>
      <c r="B887" s="34" t="s">
        <v>216</v>
      </c>
      <c r="C887" s="37" t="s">
        <v>218</v>
      </c>
      <c r="D887" s="36">
        <f t="shared" si="34"/>
        <v>369.3</v>
      </c>
      <c r="E887" s="36">
        <v>369.3</v>
      </c>
      <c r="F887" s="36">
        <v>237.7</v>
      </c>
      <c r="G887" s="36"/>
      <c r="H887" s="36"/>
      <c r="I887" s="36"/>
      <c r="J887" s="36"/>
      <c r="K887" s="36"/>
    </row>
    <row r="888" spans="1:11" ht="15.75" customHeight="1">
      <c r="A888" s="13">
        <f t="shared" si="33"/>
        <v>884</v>
      </c>
      <c r="B888" s="34" t="s">
        <v>216</v>
      </c>
      <c r="C888" s="37" t="s">
        <v>219</v>
      </c>
      <c r="D888" s="36">
        <f t="shared" si="34"/>
        <v>481.9</v>
      </c>
      <c r="E888" s="36">
        <v>481.9</v>
      </c>
      <c r="F888" s="36">
        <v>293.7</v>
      </c>
      <c r="G888" s="36"/>
      <c r="H888" s="36"/>
      <c r="I888" s="36"/>
      <c r="J888" s="36"/>
      <c r="K888" s="36"/>
    </row>
  </sheetData>
  <sheetProtection password="EFBF" sheet="1" objects="1" scenarios="1"/>
  <mergeCells count="11">
    <mergeCell ref="K3:K4"/>
    <mergeCell ref="G3:G4"/>
    <mergeCell ref="H3:H4"/>
    <mergeCell ref="I3:I4"/>
    <mergeCell ref="J3:J4"/>
    <mergeCell ref="E3:E4"/>
    <mergeCell ref="F3:F4"/>
    <mergeCell ref="A3:A4"/>
    <mergeCell ref="B3:B4"/>
    <mergeCell ref="C3:C4"/>
    <mergeCell ref="D3:D4"/>
  </mergeCells>
  <printOptions/>
  <pageMargins left="0.75" right="0.32" top="0.28" bottom="0.23" header="0.25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Гуляева</dc:creator>
  <cp:keywords/>
  <dc:description/>
  <cp:lastModifiedBy>WEB</cp:lastModifiedBy>
  <cp:lastPrinted>2011-11-01T06:36:57Z</cp:lastPrinted>
  <dcterms:created xsi:type="dcterms:W3CDTF">2011-11-01T06:28:28Z</dcterms:created>
  <dcterms:modified xsi:type="dcterms:W3CDTF">2011-11-01T06:47:58Z</dcterms:modified>
  <cp:category/>
  <cp:version/>
  <cp:contentType/>
  <cp:contentStatus/>
</cp:coreProperties>
</file>